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7880" windowHeight="394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P13" i="2" l="1"/>
  <c r="P16" i="2"/>
  <c r="P17" i="2"/>
  <c r="P15" i="2"/>
  <c r="P18" i="2"/>
  <c r="P29" i="2"/>
  <c r="P19" i="2"/>
  <c r="J13" i="2"/>
  <c r="J39" i="2"/>
  <c r="J29" i="2"/>
  <c r="J19" i="2"/>
  <c r="P14" i="2"/>
  <c r="I13" i="2"/>
  <c r="I12" i="2"/>
  <c r="H13" i="2"/>
  <c r="C12" i="2"/>
  <c r="J12" i="2" l="1"/>
  <c r="C14" i="2"/>
  <c r="C13" i="2" s="1"/>
  <c r="C15" i="2"/>
  <c r="C18" i="2"/>
  <c r="C20" i="2"/>
  <c r="C19" i="2" s="1"/>
  <c r="C22" i="2"/>
  <c r="C26" i="2"/>
  <c r="C27" i="2"/>
  <c r="C28" i="2"/>
  <c r="C30" i="2"/>
  <c r="C29" i="2" s="1"/>
  <c r="C31" i="2"/>
  <c r="C35" i="2"/>
  <c r="C36" i="2"/>
  <c r="C38" i="2"/>
  <c r="C40" i="2"/>
  <c r="C39" i="2" s="1"/>
  <c r="C10" i="1" l="1"/>
  <c r="B17" i="1"/>
  <c r="C36" i="1"/>
  <c r="C16" i="1"/>
  <c r="C26" i="1"/>
  <c r="C9" i="1" l="1"/>
  <c r="C46" i="1"/>
  <c r="P48" i="2"/>
  <c r="P47" i="2"/>
  <c r="P46" i="2"/>
  <c r="P45" i="2"/>
  <c r="P44" i="2"/>
  <c r="P43" i="2"/>
  <c r="P42" i="2"/>
  <c r="P39" i="2" s="1"/>
  <c r="P49" i="2" s="1"/>
  <c r="P41" i="2"/>
  <c r="P40" i="2"/>
  <c r="O39" i="2"/>
  <c r="N39" i="2"/>
  <c r="M39" i="2"/>
  <c r="L39" i="2"/>
  <c r="K39" i="2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P21" i="2"/>
  <c r="I20" i="2"/>
  <c r="H20" i="2"/>
  <c r="P20" i="2" s="1"/>
  <c r="O19" i="2"/>
  <c r="O49" i="2" s="1"/>
  <c r="N19" i="2"/>
  <c r="M19" i="2"/>
  <c r="L19" i="2"/>
  <c r="K19" i="2"/>
  <c r="I19" i="2"/>
  <c r="G19" i="2"/>
  <c r="F19" i="2"/>
  <c r="E19" i="2"/>
  <c r="D19" i="2"/>
  <c r="B19" i="2"/>
  <c r="I18" i="2"/>
  <c r="H18" i="2"/>
  <c r="I15" i="2"/>
  <c r="I14" i="2"/>
  <c r="H14" i="2"/>
  <c r="O13" i="2"/>
  <c r="N13" i="2"/>
  <c r="M13" i="2"/>
  <c r="L13" i="2"/>
  <c r="K13" i="2"/>
  <c r="G13" i="2"/>
  <c r="F13" i="2"/>
  <c r="F49" i="2" s="1"/>
  <c r="E13" i="2"/>
  <c r="D13" i="2"/>
  <c r="D12" i="2" s="1"/>
  <c r="B13" i="2"/>
  <c r="B36" i="1"/>
  <c r="B35" i="1"/>
  <c r="B33" i="1"/>
  <c r="B28" i="1"/>
  <c r="B26" i="1"/>
  <c r="B25" i="1"/>
  <c r="B24" i="1"/>
  <c r="B16" i="1" s="1"/>
  <c r="B23" i="1"/>
  <c r="B19" i="1"/>
  <c r="B15" i="1"/>
  <c r="B12" i="1"/>
  <c r="B11" i="1"/>
  <c r="B10" i="1" s="1"/>
  <c r="B9" i="1" l="1"/>
  <c r="B46" i="1"/>
  <c r="N12" i="2"/>
  <c r="G49" i="2"/>
  <c r="O12" i="2"/>
  <c r="E12" i="2"/>
  <c r="L12" i="2"/>
  <c r="B12" i="2"/>
  <c r="M12" i="2"/>
  <c r="B49" i="2"/>
  <c r="N49" i="2"/>
  <c r="J49" i="2"/>
  <c r="K49" i="2"/>
  <c r="F12" i="2"/>
  <c r="L49" i="2"/>
  <c r="K12" i="2"/>
  <c r="E49" i="2"/>
  <c r="M49" i="2"/>
  <c r="H19" i="2"/>
  <c r="G12" i="2"/>
  <c r="H12" i="2"/>
  <c r="I29" i="2"/>
  <c r="P38" i="2"/>
  <c r="D49" i="2"/>
  <c r="C49" i="2" l="1"/>
  <c r="P12" i="2"/>
  <c r="I49" i="2"/>
  <c r="H49" i="2"/>
</calcChain>
</file>

<file path=xl/sharedStrings.xml><?xml version="1.0" encoding="utf-8"?>
<sst xmlns="http://schemas.openxmlformats.org/spreadsheetml/2006/main" count="116" uniqueCount="70">
  <si>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</si>
  <si>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</si>
  <si>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</si>
  <si>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</si>
  <si>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</si>
  <si>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</si>
  <si>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</si>
  <si>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</si>
  <si>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</si>
  <si>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</si>
  <si>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</si>
  <si>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</si>
  <si>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</si>
  <si>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</si>
  <si>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</si>
  <si>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</si>
  <si>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</si>
  <si>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</si>
  <si>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</si>
  <si>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</si>
  <si>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</si>
  <si>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</si>
  <si>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</si>
  <si>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</si>
  <si>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</si>
  <si>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</si>
  <si>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</si>
  <si>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</si>
  <si>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</si>
  <si>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</si>
  <si>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</si>
  <si>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</si>
  <si>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</si>
  <si>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</si>
  <si>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</si>
  <si>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</si>
  <si>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</si>
  <si>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</si>
  <si>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</si>
  <si>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</si>
  <si>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</si>
  <si>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</si>
  <si>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</si>
  <si>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</si>
  <si>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</si>
  <si>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</si>
  <si>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</si>
  <si>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</si>
  <si>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</si>
  <si>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</si>
  <si>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</si>
  <si>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</si>
  <si>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</si>
  <si>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</si>
  <si>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</si>
  <si>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</si>
  <si>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</si>
  <si>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</si>
  <si>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</si>
  <si>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</si>
  <si>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</si>
  <si>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</si>
  <si>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</si>
  <si>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</si>
  <si>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Fecha de registro: el 01 de junio del 2022</t>
  </si>
  <si>
    <t>Fecha de imputación: hasta el 30 de junio del 2022</t>
  </si>
  <si>
    <t xml:space="preserve">YENIFER A. SUERO REYNOSO                                                                                    ANA E. DOLORES </t>
  </si>
  <si>
    <t>Analista  de Presupuesto                                                                                  Analista de Presupuesto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</si>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</sst>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4" fontId="4" fillId="0" borderId="0" xfId="0" applyNumberFormat="1" applyFont="1" applyAlignme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4" fontId="6" fillId="0" borderId="0" xfId="0" applyNumberFormat="1" applyFont="1"/>
    <xf numFmtId="43" fontId="3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43" fontId="7" fillId="0" borderId="0" xfId="1" applyFont="1" applyAlignment="1">
      <alignment horizontal="left"/>
    </xf>
    <xf numFmtId="4" fontId="4" fillId="0" borderId="13" xfId="0" applyNumberFormat="1" applyFont="1" applyBorder="1"/>
    <xf numFmtId="0" fontId="5" fillId="2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indent="2"/>
    </xf>
    <xf numFmtId="43" fontId="3" fillId="0" borderId="13" xfId="0" applyNumberFormat="1" applyFont="1" applyBorder="1"/>
    <xf numFmtId="43" fontId="5" fillId="2" borderId="19" xfId="0" applyNumberFormat="1" applyFont="1" applyFill="1" applyBorder="1"/>
    <xf numFmtId="4" fontId="5" fillId="2" borderId="19" xfId="0" applyNumberFormat="1" applyFont="1" applyFill="1" applyBorder="1"/>
    <xf numFmtId="4" fontId="3" fillId="0" borderId="0" xfId="0" applyNumberFormat="1" applyFont="1"/>
    <xf numFmtId="43" fontId="2" fillId="0" borderId="20" xfId="0" applyNumberFormat="1" applyFont="1" applyBorder="1"/>
    <xf numFmtId="0" fontId="8" fillId="0" borderId="0" xfId="0" applyFont="1"/>
    <xf numFmtId="43" fontId="7" fillId="0" borderId="0" xfId="1" applyNumberFormat="1" applyFont="1"/>
    <xf numFmtId="43" fontId="7" fillId="0" borderId="0" xfId="1" applyNumberFormat="1" applyFont="1" applyAlignment="1"/>
    <xf numFmtId="43" fontId="7" fillId="0" borderId="0" xfId="1" applyFont="1"/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/>
    <xf numFmtId="43" fontId="12" fillId="3" borderId="1" xfId="1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0" borderId="16" xfId="0" applyFont="1" applyBorder="1" applyAlignment="1">
      <alignment horizontal="left" indent="1"/>
    </xf>
    <xf numFmtId="164" fontId="13" fillId="0" borderId="17" xfId="0" applyNumberFormat="1" applyFont="1" applyBorder="1"/>
    <xf numFmtId="164" fontId="16" fillId="0" borderId="17" xfId="0" applyNumberFormat="1" applyFont="1" applyBorder="1"/>
    <xf numFmtId="43" fontId="13" fillId="0" borderId="17" xfId="0" applyNumberFormat="1" applyFont="1" applyBorder="1"/>
    <xf numFmtId="43" fontId="13" fillId="0" borderId="17" xfId="0" applyNumberFormat="1" applyFont="1" applyBorder="1" applyAlignment="1"/>
    <xf numFmtId="43" fontId="13" fillId="0" borderId="18" xfId="0" applyNumberFormat="1" applyFont="1" applyBorder="1"/>
    <xf numFmtId="43" fontId="14" fillId="4" borderId="0" xfId="0" applyNumberFormat="1" applyFont="1" applyFill="1"/>
    <xf numFmtId="43" fontId="15" fillId="4" borderId="0" xfId="0" applyNumberFormat="1" applyFont="1" applyFill="1"/>
    <xf numFmtId="43" fontId="7" fillId="4" borderId="0" xfId="0" applyNumberFormat="1" applyFont="1" applyFill="1"/>
    <xf numFmtId="0" fontId="7" fillId="0" borderId="15" xfId="0" applyFont="1" applyBorder="1" applyAlignment="1">
      <alignment horizontal="left" indent="2"/>
    </xf>
    <xf numFmtId="164" fontId="7" fillId="0" borderId="15" xfId="0" applyNumberFormat="1" applyFont="1" applyBorder="1"/>
    <xf numFmtId="4" fontId="17" fillId="0" borderId="15" xfId="0" applyNumberFormat="1" applyFont="1" applyBorder="1"/>
    <xf numFmtId="43" fontId="7" fillId="0" borderId="15" xfId="1" applyNumberFormat="1" applyFont="1" applyBorder="1"/>
    <xf numFmtId="43" fontId="7" fillId="0" borderId="15" xfId="1" applyNumberFormat="1" applyFont="1" applyBorder="1" applyAlignment="1"/>
    <xf numFmtId="43" fontId="7" fillId="0" borderId="15" xfId="1" applyFont="1" applyBorder="1"/>
    <xf numFmtId="4" fontId="7" fillId="0" borderId="15" xfId="0" applyNumberFormat="1" applyFont="1" applyBorder="1"/>
    <xf numFmtId="4" fontId="18" fillId="0" borderId="13" xfId="0" applyNumberFormat="1" applyFont="1" applyBorder="1"/>
    <xf numFmtId="43" fontId="9" fillId="4" borderId="0" xfId="0" applyNumberFormat="1" applyFont="1" applyFill="1"/>
    <xf numFmtId="43" fontId="10" fillId="4" borderId="0" xfId="0" applyNumberFormat="1" applyFont="1" applyFill="1"/>
    <xf numFmtId="0" fontId="7" fillId="0" borderId="13" xfId="0" applyFont="1" applyBorder="1" applyAlignment="1">
      <alignment horizontal="left" indent="2"/>
    </xf>
    <xf numFmtId="164" fontId="7" fillId="0" borderId="13" xfId="0" applyNumberFormat="1" applyFont="1" applyBorder="1"/>
    <xf numFmtId="4" fontId="17" fillId="0" borderId="13" xfId="0" applyNumberFormat="1" applyFont="1" applyBorder="1"/>
    <xf numFmtId="43" fontId="7" fillId="0" borderId="13" xfId="1" applyNumberFormat="1" applyFont="1" applyBorder="1"/>
    <xf numFmtId="43" fontId="7" fillId="0" borderId="13" xfId="1" applyNumberFormat="1" applyFont="1" applyBorder="1" applyAlignment="1"/>
    <xf numFmtId="43" fontId="7" fillId="0" borderId="13" xfId="1" applyFont="1" applyBorder="1"/>
    <xf numFmtId="4" fontId="7" fillId="0" borderId="13" xfId="0" applyNumberFormat="1" applyFont="1" applyBorder="1"/>
    <xf numFmtId="164" fontId="17" fillId="0" borderId="13" xfId="0" applyNumberFormat="1" applyFont="1" applyBorder="1"/>
    <xf numFmtId="0" fontId="7" fillId="0" borderId="14" xfId="0" applyFont="1" applyBorder="1" applyAlignment="1">
      <alignment horizontal="left" indent="2"/>
    </xf>
    <xf numFmtId="164" fontId="7" fillId="0" borderId="14" xfId="0" applyNumberFormat="1" applyFont="1" applyBorder="1"/>
    <xf numFmtId="4" fontId="17" fillId="0" borderId="14" xfId="0" applyNumberFormat="1" applyFont="1" applyBorder="1"/>
    <xf numFmtId="43" fontId="7" fillId="0" borderId="14" xfId="1" applyNumberFormat="1" applyFont="1" applyBorder="1"/>
    <xf numFmtId="43" fontId="7" fillId="0" borderId="14" xfId="1" applyNumberFormat="1" applyFont="1" applyBorder="1" applyAlignment="1"/>
    <xf numFmtId="43" fontId="7" fillId="0" borderId="14" xfId="1" applyFont="1" applyBorder="1"/>
    <xf numFmtId="4" fontId="7" fillId="0" borderId="14" xfId="0" applyNumberFormat="1" applyFont="1" applyBorder="1"/>
    <xf numFmtId="164" fontId="13" fillId="0" borderId="12" xfId="0" applyNumberFormat="1" applyFont="1" applyBorder="1"/>
    <xf numFmtId="43" fontId="13" fillId="4" borderId="0" xfId="0" applyNumberFormat="1" applyFont="1" applyFill="1"/>
    <xf numFmtId="0" fontId="13" fillId="0" borderId="0" xfId="0" applyFont="1"/>
    <xf numFmtId="0" fontId="7" fillId="4" borderId="15" xfId="0" applyFont="1" applyFill="1" applyBorder="1" applyAlignment="1">
      <alignment horizontal="left" indent="2"/>
    </xf>
    <xf numFmtId="164" fontId="7" fillId="4" borderId="15" xfId="0" applyNumberFormat="1" applyFont="1" applyFill="1" applyBorder="1"/>
    <xf numFmtId="4" fontId="17" fillId="4" borderId="15" xfId="0" applyNumberFormat="1" applyFont="1" applyFill="1" applyBorder="1"/>
    <xf numFmtId="43" fontId="7" fillId="4" borderId="15" xfId="1" applyNumberFormat="1" applyFont="1" applyFill="1" applyBorder="1"/>
    <xf numFmtId="43" fontId="7" fillId="4" borderId="15" xfId="1" applyNumberFormat="1" applyFont="1" applyFill="1" applyBorder="1" applyAlignment="1"/>
    <xf numFmtId="43" fontId="7" fillId="4" borderId="15" xfId="1" applyFont="1" applyFill="1" applyBorder="1"/>
    <xf numFmtId="43" fontId="17" fillId="0" borderId="13" xfId="0" applyNumberFormat="1" applyFont="1" applyBorder="1"/>
    <xf numFmtId="43" fontId="7" fillId="4" borderId="0" xfId="1" applyFont="1" applyFill="1"/>
    <xf numFmtId="0" fontId="7" fillId="4" borderId="13" xfId="0" applyFont="1" applyFill="1" applyBorder="1" applyAlignment="1">
      <alignment horizontal="left" indent="2"/>
    </xf>
    <xf numFmtId="164" fontId="7" fillId="4" borderId="13" xfId="0" applyNumberFormat="1" applyFont="1" applyFill="1" applyBorder="1"/>
    <xf numFmtId="4" fontId="17" fillId="4" borderId="13" xfId="0" applyNumberFormat="1" applyFont="1" applyFill="1" applyBorder="1"/>
    <xf numFmtId="43" fontId="7" fillId="4" borderId="13" xfId="1" applyNumberFormat="1" applyFont="1" applyFill="1" applyBorder="1"/>
    <xf numFmtId="43" fontId="7" fillId="4" borderId="13" xfId="1" applyNumberFormat="1" applyFont="1" applyFill="1" applyBorder="1" applyAlignment="1"/>
    <xf numFmtId="43" fontId="7" fillId="4" borderId="13" xfId="1" applyFont="1" applyFill="1" applyBorder="1"/>
    <xf numFmtId="4" fontId="7" fillId="4" borderId="13" xfId="0" applyNumberFormat="1" applyFont="1" applyFill="1" applyBorder="1"/>
    <xf numFmtId="43" fontId="13" fillId="4" borderId="13" xfId="0" applyNumberFormat="1" applyFont="1" applyFill="1" applyBorder="1"/>
    <xf numFmtId="43" fontId="17" fillId="0" borderId="13" xfId="1" applyNumberFormat="1" applyFont="1" applyBorder="1"/>
    <xf numFmtId="164" fontId="13" fillId="0" borderId="17" xfId="0" applyNumberFormat="1" applyFont="1" applyBorder="1" applyAlignment="1"/>
    <xf numFmtId="165" fontId="17" fillId="0" borderId="13" xfId="0" applyNumberFormat="1" applyFont="1" applyBorder="1"/>
    <xf numFmtId="4" fontId="7" fillId="0" borderId="0" xfId="0" applyNumberFormat="1" applyFont="1"/>
    <xf numFmtId="164" fontId="13" fillId="0" borderId="18" xfId="0" applyNumberFormat="1" applyFont="1" applyBorder="1"/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/>
    <xf numFmtId="43" fontId="12" fillId="2" borderId="0" xfId="0" applyNumberFormat="1" applyFont="1" applyFill="1" applyBorder="1" applyAlignment="1"/>
    <xf numFmtId="0" fontId="19" fillId="0" borderId="0" xfId="0" applyFont="1"/>
    <xf numFmtId="43" fontId="8" fillId="0" borderId="0" xfId="1" applyFont="1"/>
    <xf numFmtId="43" fontId="7" fillId="0" borderId="0" xfId="1" applyFont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2" xfId="0" applyFont="1" applyBorder="1"/>
    <xf numFmtId="0" fontId="7" fillId="0" borderId="0" xfId="0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43" fontId="12" fillId="2" borderId="1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3" borderId="8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zoomScale="85" zoomScaleNormal="85" workbookViewId="0">
      <selection activeCell="C59" sqref="C59"/>
    </sheetView>
  </sheetViews>
  <sheetFormatPr baseColWidth="10" defaultColWidth="11.42578125" defaultRowHeight="15.75" x14ac:dyDescent="0.25"/>
  <cols>
    <col min="1" max="1" width="66.5703125" style="2" customWidth="1"/>
    <col min="2" max="2" width="19" style="12" customWidth="1"/>
    <col min="3" max="3" width="18.140625" style="13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116" t="s">
        <v>0</v>
      </c>
      <c r="B1" s="116"/>
      <c r="C1" s="116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16" t="s">
        <v>1</v>
      </c>
      <c r="B2" s="116"/>
      <c r="C2" s="116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17" t="s">
        <v>2</v>
      </c>
      <c r="B3" s="117"/>
      <c r="C3" s="117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 x14ac:dyDescent="0.25">
      <c r="A4" s="118">
        <v>44743</v>
      </c>
      <c r="B4" s="116"/>
      <c r="C4" s="116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19" t="s">
        <v>3</v>
      </c>
      <c r="B5" s="119"/>
      <c r="C5" s="11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customHeight="1" x14ac:dyDescent="0.25">
      <c r="A7" s="120" t="s">
        <v>4</v>
      </c>
      <c r="B7" s="121" t="s">
        <v>5</v>
      </c>
      <c r="C7" s="123" t="s">
        <v>6</v>
      </c>
    </row>
    <row r="8" spans="1:13" ht="23.25" customHeight="1" x14ac:dyDescent="0.25">
      <c r="A8" s="120"/>
      <c r="B8" s="122"/>
      <c r="C8" s="124"/>
    </row>
    <row r="9" spans="1:13" ht="16.5" thickBot="1" x14ac:dyDescent="0.3">
      <c r="A9" s="8" t="s">
        <v>7</v>
      </c>
      <c r="B9" s="25">
        <f>B10+B16+B26+B36</f>
        <v>653027387</v>
      </c>
      <c r="C9" s="25">
        <f>C10+C16+C26+C36</f>
        <v>653027387</v>
      </c>
    </row>
    <row r="10" spans="1:13" ht="16.5" thickTop="1" x14ac:dyDescent="0.25">
      <c r="A10" s="9" t="s">
        <v>8</v>
      </c>
      <c r="B10" s="10">
        <f>SUM(B11:B15)</f>
        <v>546239387</v>
      </c>
      <c r="C10" s="11">
        <f>C11+C12+C13+C15</f>
        <v>546239387</v>
      </c>
      <c r="D10" s="24"/>
    </row>
    <row r="11" spans="1:13" x14ac:dyDescent="0.25">
      <c r="A11" s="20" t="s">
        <v>9</v>
      </c>
      <c r="B11" s="21">
        <f>335580073+99979000+1200000+2308039+29164637</f>
        <v>468231749</v>
      </c>
      <c r="C11" s="18">
        <v>443031845.42000002</v>
      </c>
    </row>
    <row r="12" spans="1:13" x14ac:dyDescent="0.25">
      <c r="A12" s="20" t="s">
        <v>10</v>
      </c>
      <c r="B12" s="21">
        <f>720000+5742000+6090834</f>
        <v>12552834</v>
      </c>
      <c r="C12" s="18">
        <v>37726483.939999998</v>
      </c>
    </row>
    <row r="13" spans="1:13" x14ac:dyDescent="0.25">
      <c r="A13" s="20" t="s">
        <v>11</v>
      </c>
      <c r="B13" s="21">
        <v>360000</v>
      </c>
      <c r="C13" s="18">
        <v>360000</v>
      </c>
    </row>
    <row r="14" spans="1:13" x14ac:dyDescent="0.25">
      <c r="A14" s="20" t="s">
        <v>12</v>
      </c>
      <c r="B14" s="21">
        <v>0</v>
      </c>
      <c r="C14" s="18"/>
    </row>
    <row r="15" spans="1:13" x14ac:dyDescent="0.25">
      <c r="A15" s="20" t="s">
        <v>13</v>
      </c>
      <c r="B15" s="21">
        <f>30303984+30378565+4412255</f>
        <v>65094804</v>
      </c>
      <c r="C15" s="18">
        <v>65121057.640000001</v>
      </c>
    </row>
    <row r="16" spans="1:13" x14ac:dyDescent="0.25">
      <c r="A16" s="9" t="s">
        <v>14</v>
      </c>
      <c r="B16" s="10">
        <f>SUM(B17:B25)</f>
        <v>91453000</v>
      </c>
      <c r="C16" s="11">
        <f>C17+C18+C19+C20+C21+C22+C23+C24+C25</f>
        <v>82459000</v>
      </c>
    </row>
    <row r="17" spans="1:3" x14ac:dyDescent="0.25">
      <c r="A17" s="20" t="s">
        <v>15</v>
      </c>
      <c r="B17" s="21">
        <f>3000+3600000+34000000+1000000+300000</f>
        <v>38903000</v>
      </c>
      <c r="C17" s="18">
        <v>38903000</v>
      </c>
    </row>
    <row r="18" spans="1:3" x14ac:dyDescent="0.25">
      <c r="A18" s="20" t="s">
        <v>16</v>
      </c>
      <c r="B18" s="21"/>
      <c r="C18" s="18">
        <v>940031</v>
      </c>
    </row>
    <row r="19" spans="1:3" x14ac:dyDescent="0.25">
      <c r="A19" s="20" t="s">
        <v>17</v>
      </c>
      <c r="B19" s="21">
        <f>1000000+1000000+1000000</f>
        <v>3000000</v>
      </c>
      <c r="C19" s="18">
        <v>2000000</v>
      </c>
    </row>
    <row r="20" spans="1:3" x14ac:dyDescent="0.25">
      <c r="A20" s="20" t="s">
        <v>18</v>
      </c>
      <c r="B20" s="21"/>
      <c r="C20" s="18">
        <v>1000000</v>
      </c>
    </row>
    <row r="21" spans="1:3" x14ac:dyDescent="0.25">
      <c r="A21" s="20" t="s">
        <v>19</v>
      </c>
      <c r="B21" s="21">
        <v>900000</v>
      </c>
      <c r="C21" s="18">
        <v>948800</v>
      </c>
    </row>
    <row r="22" spans="1:3" x14ac:dyDescent="0.25">
      <c r="A22" s="20" t="s">
        <v>20</v>
      </c>
      <c r="B22" s="21">
        <v>4000000</v>
      </c>
      <c r="C22" s="18">
        <v>4000000</v>
      </c>
    </row>
    <row r="23" spans="1:3" x14ac:dyDescent="0.25">
      <c r="A23" s="20" t="s">
        <v>21</v>
      </c>
      <c r="B23" s="21">
        <f>30000000+1000000+500000+500000+750000</f>
        <v>32750000</v>
      </c>
      <c r="C23" s="18">
        <v>22267169</v>
      </c>
    </row>
    <row r="24" spans="1:3" x14ac:dyDescent="0.25">
      <c r="A24" s="20" t="s">
        <v>22</v>
      </c>
      <c r="B24" s="21">
        <f>1000000+1500000+5000000+1200000</f>
        <v>8700000</v>
      </c>
      <c r="C24" s="18">
        <v>9200000</v>
      </c>
    </row>
    <row r="25" spans="1:3" x14ac:dyDescent="0.25">
      <c r="A25" s="20" t="s">
        <v>23</v>
      </c>
      <c r="B25" s="21">
        <f>1200000+2000000</f>
        <v>3200000</v>
      </c>
      <c r="C25" s="18">
        <v>3200000</v>
      </c>
    </row>
    <row r="26" spans="1:3" x14ac:dyDescent="0.25">
      <c r="A26" s="9" t="s">
        <v>24</v>
      </c>
      <c r="B26" s="10">
        <f>SUM(B27:B35)</f>
        <v>13835000</v>
      </c>
      <c r="C26" s="11">
        <f>C27+C28+C29+C31+C32+C33+C35</f>
        <v>16084400</v>
      </c>
    </row>
    <row r="27" spans="1:3" x14ac:dyDescent="0.25">
      <c r="A27" s="20" t="s">
        <v>25</v>
      </c>
      <c r="B27" s="21">
        <v>1000000</v>
      </c>
      <c r="C27" s="18">
        <v>1285000</v>
      </c>
    </row>
    <row r="28" spans="1:3" x14ac:dyDescent="0.25">
      <c r="A28" s="20" t="s">
        <v>26</v>
      </c>
      <c r="B28" s="21">
        <f>200000+1000000</f>
        <v>1200000</v>
      </c>
      <c r="C28" s="18">
        <v>1200000</v>
      </c>
    </row>
    <row r="29" spans="1:3" x14ac:dyDescent="0.25">
      <c r="A29" s="20" t="s">
        <v>27</v>
      </c>
      <c r="B29" s="21">
        <v>500000</v>
      </c>
      <c r="C29" s="18">
        <v>685000</v>
      </c>
    </row>
    <row r="30" spans="1:3" x14ac:dyDescent="0.25">
      <c r="A30" s="20" t="s">
        <v>28</v>
      </c>
      <c r="B30" s="21"/>
      <c r="C30" s="18"/>
    </row>
    <row r="31" spans="1:3" x14ac:dyDescent="0.25">
      <c r="A31" s="20" t="s">
        <v>29</v>
      </c>
      <c r="B31" s="21"/>
      <c r="C31" s="18">
        <v>14400</v>
      </c>
    </row>
    <row r="32" spans="1:3" x14ac:dyDescent="0.25">
      <c r="A32" s="20" t="s">
        <v>30</v>
      </c>
      <c r="B32" s="21"/>
      <c r="C32" s="18">
        <v>317500</v>
      </c>
    </row>
    <row r="33" spans="1:3" x14ac:dyDescent="0.25">
      <c r="A33" s="20" t="s">
        <v>31</v>
      </c>
      <c r="B33" s="21">
        <f>3600000+1500000</f>
        <v>5100000</v>
      </c>
      <c r="C33" s="18">
        <v>5300000</v>
      </c>
    </row>
    <row r="34" spans="1:3" x14ac:dyDescent="0.25">
      <c r="A34" s="20" t="s">
        <v>32</v>
      </c>
      <c r="B34" s="21"/>
      <c r="C34" s="18"/>
    </row>
    <row r="35" spans="1:3" x14ac:dyDescent="0.25">
      <c r="A35" s="20" t="s">
        <v>33</v>
      </c>
      <c r="B35" s="21">
        <f>3000000+2000000+1000000+35000</f>
        <v>6035000</v>
      </c>
      <c r="C35" s="18">
        <v>7282500</v>
      </c>
    </row>
    <row r="36" spans="1:3" x14ac:dyDescent="0.25">
      <c r="A36" s="9" t="s">
        <v>34</v>
      </c>
      <c r="B36" s="10">
        <f>SUM(B37:B45)</f>
        <v>1500000</v>
      </c>
      <c r="C36" s="11">
        <f>C37+C38+C40+C41+C45</f>
        <v>8244600</v>
      </c>
    </row>
    <row r="37" spans="1:3" x14ac:dyDescent="0.25">
      <c r="A37" s="20" t="s">
        <v>35</v>
      </c>
      <c r="B37" s="21">
        <v>1500000</v>
      </c>
      <c r="C37" s="18">
        <v>2283000</v>
      </c>
    </row>
    <row r="38" spans="1:3" x14ac:dyDescent="0.25">
      <c r="A38" s="20" t="s">
        <v>36</v>
      </c>
      <c r="B38" s="21"/>
      <c r="C38" s="18">
        <v>600000</v>
      </c>
    </row>
    <row r="39" spans="1:3" x14ac:dyDescent="0.25">
      <c r="A39" s="20" t="s">
        <v>37</v>
      </c>
      <c r="B39" s="21"/>
      <c r="C39" s="18"/>
    </row>
    <row r="40" spans="1:3" x14ac:dyDescent="0.25">
      <c r="A40" s="20" t="s">
        <v>38</v>
      </c>
      <c r="B40" s="21"/>
      <c r="C40" s="18">
        <v>5257000</v>
      </c>
    </row>
    <row r="41" spans="1:3" x14ac:dyDescent="0.25">
      <c r="A41" s="20" t="s">
        <v>39</v>
      </c>
      <c r="B41" s="21"/>
      <c r="C41" s="18">
        <v>79600</v>
      </c>
    </row>
    <row r="42" spans="1:3" x14ac:dyDescent="0.25">
      <c r="A42" s="20" t="s">
        <v>40</v>
      </c>
      <c r="B42" s="21"/>
      <c r="C42" s="18"/>
    </row>
    <row r="43" spans="1:3" x14ac:dyDescent="0.25">
      <c r="A43" s="20" t="s">
        <v>41</v>
      </c>
      <c r="B43" s="21"/>
      <c r="C43" s="18"/>
    </row>
    <row r="44" spans="1:3" x14ac:dyDescent="0.25">
      <c r="A44" s="20" t="s">
        <v>42</v>
      </c>
      <c r="B44" s="21"/>
      <c r="C44" s="18"/>
    </row>
    <row r="45" spans="1:3" x14ac:dyDescent="0.25">
      <c r="A45" s="20" t="s">
        <v>43</v>
      </c>
      <c r="B45" s="21"/>
      <c r="C45" s="18">
        <v>25000</v>
      </c>
    </row>
    <row r="46" spans="1:3" ht="16.5" thickBot="1" x14ac:dyDescent="0.3">
      <c r="A46" s="19" t="s">
        <v>44</v>
      </c>
      <c r="B46" s="22">
        <f>+B10+B16+B26+B36</f>
        <v>653027387</v>
      </c>
      <c r="C46" s="23">
        <f>+C10+C16+C26+C36</f>
        <v>653027387</v>
      </c>
    </row>
    <row r="47" spans="1:3" ht="16.5" thickTop="1" x14ac:dyDescent="0.25"/>
    <row r="48" spans="1:3" x14ac:dyDescent="0.25">
      <c r="A48" s="110" t="s">
        <v>45</v>
      </c>
      <c r="B48" s="111"/>
      <c r="C48" s="112"/>
    </row>
    <row r="49" spans="1:3" ht="30.75" customHeight="1" x14ac:dyDescent="0.25">
      <c r="A49" s="113" t="s">
        <v>46</v>
      </c>
      <c r="B49" s="114"/>
      <c r="C49" s="115"/>
    </row>
    <row r="52" spans="1:3" ht="26.25" customHeight="1" x14ac:dyDescent="0.25"/>
    <row r="53" spans="1:3" ht="33.75" customHeight="1" x14ac:dyDescent="0.25">
      <c r="A53" s="2" t="s">
        <v>47</v>
      </c>
    </row>
    <row r="54" spans="1:3" x14ac:dyDescent="0.25">
      <c r="A54" s="14" t="s">
        <v>68</v>
      </c>
    </row>
    <row r="55" spans="1:3" x14ac:dyDescent="0.25">
      <c r="A55" s="15" t="s">
        <v>69</v>
      </c>
    </row>
  </sheetData>
  <mergeCells count="10">
    <mergeCell ref="A48:C48"/>
    <mergeCell ref="A49:C49"/>
    <mergeCell ref="A1:C1"/>
    <mergeCell ref="A2:C2"/>
    <mergeCell ref="A3:C3"/>
    <mergeCell ref="A4:C4"/>
    <mergeCell ref="A5:C5"/>
    <mergeCell ref="A7:A8"/>
    <mergeCell ref="B7:B8"/>
    <mergeCell ref="C7:C8"/>
  </mergeCells>
  <pageMargins left="0.7" right="0.7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2"/>
  <sheetViews>
    <sheetView tabSelected="1" topLeftCell="A3" zoomScaleNormal="100" workbookViewId="0">
      <selection activeCell="E64" sqref="E64"/>
    </sheetView>
  </sheetViews>
  <sheetFormatPr baseColWidth="10" defaultColWidth="38.28515625" defaultRowHeight="12.75" x14ac:dyDescent="0.2"/>
  <cols>
    <col min="1" max="1" width="38.28515625" style="16"/>
    <col min="2" max="2" width="18.42578125" style="16" customWidth="1"/>
    <col min="3" max="3" width="16.85546875" style="26" customWidth="1"/>
    <col min="4" max="4" width="13.7109375" style="27" customWidth="1"/>
    <col min="5" max="5" width="13.85546875" style="28" customWidth="1"/>
    <col min="6" max="6" width="14" style="27" customWidth="1"/>
    <col min="7" max="7" width="15.140625" style="29" customWidth="1"/>
    <col min="8" max="8" width="13.7109375" style="29" customWidth="1"/>
    <col min="9" max="9" width="14.7109375" style="29" customWidth="1"/>
    <col min="10" max="10" width="15.42578125" style="29" customWidth="1"/>
    <col min="11" max="15" width="0" style="29" hidden="1" customWidth="1"/>
    <col min="16" max="16" width="16.85546875" style="27" customWidth="1"/>
    <col min="17" max="17" width="38.28515625" style="30"/>
    <col min="18" max="18" width="38.28515625" style="31"/>
    <col min="19" max="19" width="38.28515625" style="32"/>
    <col min="20" max="16384" width="38.28515625" style="16"/>
  </cols>
  <sheetData>
    <row r="1" spans="1:19" ht="2.25" hidden="1" customHeight="1" x14ac:dyDescent="0.2"/>
    <row r="2" spans="1:19" hidden="1" x14ac:dyDescent="0.2"/>
    <row r="3" spans="1:19" ht="28.5" customHeight="1" x14ac:dyDescent="0.2">
      <c r="A3" s="131" t="s">
        <v>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9" ht="21" customHeight="1" x14ac:dyDescent="0.2">
      <c r="A4" s="131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9" x14ac:dyDescent="0.2">
      <c r="A5" s="133" t="s">
        <v>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9" ht="15.75" customHeight="1" x14ac:dyDescent="0.2">
      <c r="A6" s="131">
        <v>2022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9" ht="15.75" customHeight="1" x14ac:dyDescent="0.2">
      <c r="A7" s="132" t="s">
        <v>48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9" ht="15.75" customHeight="1" x14ac:dyDescent="0.2">
      <c r="A8" s="132" t="s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9" ht="4.5" customHeight="1" x14ac:dyDescent="0.2"/>
    <row r="10" spans="1:19" ht="25.5" customHeight="1" x14ac:dyDescent="0.2">
      <c r="A10" s="125" t="s">
        <v>4</v>
      </c>
      <c r="B10" s="126" t="s">
        <v>5</v>
      </c>
      <c r="C10" s="126" t="s">
        <v>6</v>
      </c>
      <c r="D10" s="128" t="s">
        <v>49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30"/>
    </row>
    <row r="11" spans="1:19" x14ac:dyDescent="0.2">
      <c r="A11" s="125"/>
      <c r="B11" s="127"/>
      <c r="C11" s="127"/>
      <c r="D11" s="33" t="s">
        <v>50</v>
      </c>
      <c r="E11" s="33" t="s">
        <v>51</v>
      </c>
      <c r="F11" s="33" t="s">
        <v>52</v>
      </c>
      <c r="G11" s="34" t="s">
        <v>53</v>
      </c>
      <c r="H11" s="35" t="s">
        <v>54</v>
      </c>
      <c r="I11" s="34" t="s">
        <v>55</v>
      </c>
      <c r="J11" s="35" t="s">
        <v>56</v>
      </c>
      <c r="K11" s="34" t="s">
        <v>57</v>
      </c>
      <c r="L11" s="34" t="s">
        <v>58</v>
      </c>
      <c r="M11" s="34" t="s">
        <v>59</v>
      </c>
      <c r="N11" s="34" t="s">
        <v>60</v>
      </c>
      <c r="O11" s="35" t="s">
        <v>61</v>
      </c>
      <c r="P11" s="33" t="s">
        <v>62</v>
      </c>
    </row>
    <row r="12" spans="1:19" ht="13.5" thickBot="1" x14ac:dyDescent="0.25">
      <c r="A12" s="36" t="s">
        <v>7</v>
      </c>
      <c r="B12" s="37">
        <f>B13+B19+B29+B39</f>
        <v>653027387</v>
      </c>
      <c r="C12" s="37">
        <f>C13+C19+C29+C39</f>
        <v>653027387</v>
      </c>
      <c r="D12" s="37">
        <f t="shared" ref="D12:P12" si="0">D13+D19+D29+D39</f>
        <v>34794719.310000002</v>
      </c>
      <c r="E12" s="38">
        <f t="shared" si="0"/>
        <v>35874710.159999996</v>
      </c>
      <c r="F12" s="37">
        <f t="shared" si="0"/>
        <v>38863685.929999992</v>
      </c>
      <c r="G12" s="37">
        <f t="shared" si="0"/>
        <v>40904290.339999996</v>
      </c>
      <c r="H12" s="37">
        <f t="shared" si="0"/>
        <v>39574826.699999996</v>
      </c>
      <c r="I12" s="37">
        <f>I13+I19+I29+I39</f>
        <v>42560642.419999994</v>
      </c>
      <c r="J12" s="37">
        <f>J13+J19+J29+J39</f>
        <v>43594456.18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276167331.03999996</v>
      </c>
      <c r="Q12" s="39"/>
      <c r="R12" s="40"/>
    </row>
    <row r="13" spans="1:19" ht="13.5" thickBot="1" x14ac:dyDescent="0.25">
      <c r="A13" s="41" t="s">
        <v>8</v>
      </c>
      <c r="B13" s="42">
        <f t="shared" ref="B13:F13" si="1">SUM(B14:B18)</f>
        <v>546239387</v>
      </c>
      <c r="C13" s="43">
        <f t="shared" si="1"/>
        <v>546239387</v>
      </c>
      <c r="D13" s="44">
        <f t="shared" si="1"/>
        <v>33315143.359999999</v>
      </c>
      <c r="E13" s="45">
        <f t="shared" si="1"/>
        <v>33271333.159999996</v>
      </c>
      <c r="F13" s="44">
        <f t="shared" si="1"/>
        <v>35550234.599999994</v>
      </c>
      <c r="G13" s="44">
        <f>SUM(G14:G18)</f>
        <v>35035786.769999996</v>
      </c>
      <c r="H13" s="42">
        <f>SUM(H14:H18)</f>
        <v>35008102.299999997</v>
      </c>
      <c r="I13" s="42">
        <f>SUM(I14:I18)</f>
        <v>37910525.449999996</v>
      </c>
      <c r="J13" s="42">
        <f>SUM(J14:J18)</f>
        <v>37907329.549999997</v>
      </c>
      <c r="K13" s="42">
        <f t="shared" ref="K13:N13" si="2">SUM(K14:K18)</f>
        <v>0</v>
      </c>
      <c r="L13" s="42">
        <f t="shared" si="2"/>
        <v>0</v>
      </c>
      <c r="M13" s="42">
        <f t="shared" si="2"/>
        <v>0</v>
      </c>
      <c r="N13" s="42">
        <f t="shared" si="2"/>
        <v>0</v>
      </c>
      <c r="O13" s="42">
        <f>SUM(O14:O18)</f>
        <v>0</v>
      </c>
      <c r="P13" s="46">
        <f>SUM(P14:P18)</f>
        <v>247998455.18999997</v>
      </c>
      <c r="Q13" s="47"/>
      <c r="R13" s="48"/>
      <c r="S13" s="49"/>
    </row>
    <row r="14" spans="1:19" x14ac:dyDescent="0.2">
      <c r="A14" s="50" t="s">
        <v>9</v>
      </c>
      <c r="B14" s="51">
        <v>468231749</v>
      </c>
      <c r="C14" s="52">
        <f>334888924.83+300000+68776680.41+960000+1200000+3241623.96+32528261.24+550000+586354.98</f>
        <v>443031845.42000002</v>
      </c>
      <c r="D14" s="53">
        <v>28807738.509999998</v>
      </c>
      <c r="E14" s="54">
        <v>28769738.509999998</v>
      </c>
      <c r="F14" s="53">
        <v>30584630.639999997</v>
      </c>
      <c r="G14" s="55">
        <v>30213988.509999998</v>
      </c>
      <c r="H14" s="56">
        <f>26467542.58+3587250+30000+105135.33</f>
        <v>30189927.909999996</v>
      </c>
      <c r="I14" s="55">
        <f>27104042.58+50000+4660750+254000+55000+105135.33+491462.85</f>
        <v>32720390.759999998</v>
      </c>
      <c r="J14" s="57">
        <v>32643927.91</v>
      </c>
      <c r="P14" s="53">
        <f>SUM(D14:O14)</f>
        <v>213930342.74999997</v>
      </c>
      <c r="Q14" s="58"/>
      <c r="R14" s="59"/>
      <c r="S14" s="49"/>
    </row>
    <row r="15" spans="1:19" x14ac:dyDescent="0.2">
      <c r="A15" s="60" t="s">
        <v>10</v>
      </c>
      <c r="B15" s="61">
        <v>12552834</v>
      </c>
      <c r="C15" s="62">
        <f>720000+3990000+6090834+26925649.94</f>
        <v>37726483.939999998</v>
      </c>
      <c r="D15" s="63">
        <v>122500</v>
      </c>
      <c r="E15" s="64">
        <v>122500</v>
      </c>
      <c r="F15" s="63">
        <v>319500</v>
      </c>
      <c r="G15" s="65">
        <v>221000</v>
      </c>
      <c r="H15" s="66">
        <v>221000</v>
      </c>
      <c r="I15" s="65">
        <f>286000</f>
        <v>286000</v>
      </c>
      <c r="J15" s="57">
        <v>295000</v>
      </c>
      <c r="P15" s="53">
        <f t="shared" ref="P15:P18" si="3">SUM(D15:O15)</f>
        <v>1587500</v>
      </c>
      <c r="Q15" s="58"/>
      <c r="R15" s="59"/>
      <c r="S15" s="49"/>
    </row>
    <row r="16" spans="1:19" x14ac:dyDescent="0.2">
      <c r="A16" s="60" t="s">
        <v>11</v>
      </c>
      <c r="B16" s="61">
        <v>360000</v>
      </c>
      <c r="C16" s="62">
        <v>360000</v>
      </c>
      <c r="D16" s="63">
        <v>0</v>
      </c>
      <c r="E16" s="64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53">
        <f>SUM(D16:O16)</f>
        <v>0</v>
      </c>
      <c r="Q16" s="58"/>
      <c r="R16" s="59"/>
      <c r="S16" s="49"/>
    </row>
    <row r="17" spans="1:19" x14ac:dyDescent="0.2">
      <c r="A17" s="60" t="s">
        <v>12</v>
      </c>
      <c r="B17" s="61">
        <v>0</v>
      </c>
      <c r="C17" s="67"/>
      <c r="D17" s="63">
        <v>0</v>
      </c>
      <c r="E17" s="64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53">
        <f t="shared" si="3"/>
        <v>0</v>
      </c>
      <c r="Q17" s="58"/>
      <c r="R17" s="59"/>
      <c r="S17" s="49"/>
    </row>
    <row r="18" spans="1:19" ht="13.5" thickBot="1" x14ac:dyDescent="0.25">
      <c r="A18" s="68" t="s">
        <v>13</v>
      </c>
      <c r="B18" s="69">
        <v>65094804</v>
      </c>
      <c r="C18" s="70">
        <f>30303984+30378565+4438508.64</f>
        <v>65121057.640000001</v>
      </c>
      <c r="D18" s="71">
        <v>4384904.8499999996</v>
      </c>
      <c r="E18" s="72">
        <v>4379094.6500000004</v>
      </c>
      <c r="F18" s="71">
        <v>4646103.959999999</v>
      </c>
      <c r="G18" s="73">
        <v>4600798.2600000007</v>
      </c>
      <c r="H18" s="74">
        <f>2139234.39+2143484.89+314455.11</f>
        <v>4597174.3900000006</v>
      </c>
      <c r="I18" s="73">
        <f>2280963.49+2288253.89+334917.31</f>
        <v>4904134.6900000004</v>
      </c>
      <c r="J18" s="57">
        <v>4968401.6399999997</v>
      </c>
      <c r="P18" s="53">
        <f t="shared" si="3"/>
        <v>32480612.440000001</v>
      </c>
      <c r="Q18" s="58"/>
      <c r="R18" s="59"/>
      <c r="S18" s="49"/>
    </row>
    <row r="19" spans="1:19" s="77" customFormat="1" ht="13.5" thickBot="1" x14ac:dyDescent="0.25">
      <c r="A19" s="41" t="s">
        <v>14</v>
      </c>
      <c r="B19" s="42">
        <f>SUM(B20:B28)</f>
        <v>91453000</v>
      </c>
      <c r="C19" s="43">
        <f>SUM(C20:C28)</f>
        <v>89963500</v>
      </c>
      <c r="D19" s="44">
        <f t="shared" ref="D19:O19" si="4">SUM(D20:D28)</f>
        <v>1254075.95</v>
      </c>
      <c r="E19" s="45">
        <f t="shared" si="4"/>
        <v>2377877</v>
      </c>
      <c r="F19" s="44">
        <f>SUM(F20:F28)</f>
        <v>2542951.33</v>
      </c>
      <c r="G19" s="44">
        <f>SUM(G20:G28)</f>
        <v>5648003.5700000003</v>
      </c>
      <c r="H19" s="42">
        <f t="shared" si="4"/>
        <v>4233416.3999999994</v>
      </c>
      <c r="I19" s="42">
        <f>SUM(I20:I28)</f>
        <v>3835052.92</v>
      </c>
      <c r="J19" s="75">
        <f>SUM(J20:J28)</f>
        <v>2289854.6800000002</v>
      </c>
      <c r="K19" s="42">
        <f t="shared" si="4"/>
        <v>0</v>
      </c>
      <c r="L19" s="42">
        <f t="shared" si="4"/>
        <v>0</v>
      </c>
      <c r="M19" s="42">
        <f t="shared" si="4"/>
        <v>0</v>
      </c>
      <c r="N19" s="42">
        <f t="shared" si="4"/>
        <v>0</v>
      </c>
      <c r="O19" s="42">
        <f t="shared" si="4"/>
        <v>0</v>
      </c>
      <c r="P19" s="46">
        <f>SUM(P20:P28)</f>
        <v>22181231.849999998</v>
      </c>
      <c r="Q19" s="47"/>
      <c r="R19" s="48"/>
      <c r="S19" s="76"/>
    </row>
    <row r="20" spans="1:19" s="32" customFormat="1" x14ac:dyDescent="0.2">
      <c r="A20" s="78" t="s">
        <v>15</v>
      </c>
      <c r="B20" s="79">
        <v>38903000</v>
      </c>
      <c r="C20" s="80">
        <f>3000+3600000+34000000+1000000+300000</f>
        <v>38903000</v>
      </c>
      <c r="D20" s="81">
        <v>1009222.54</v>
      </c>
      <c r="E20" s="82">
        <v>2050845.1199999999</v>
      </c>
      <c r="F20" s="81">
        <v>2344299.14</v>
      </c>
      <c r="G20" s="83">
        <v>4229555.16</v>
      </c>
      <c r="H20" s="83">
        <f>310892.34+2767373.73+53902.4+17494</f>
        <v>3149662.4699999997</v>
      </c>
      <c r="I20" s="83">
        <f>298973.64+2709148.43+53902.4+16452</f>
        <v>3078476.47</v>
      </c>
      <c r="J20" s="84">
        <v>1204090.23</v>
      </c>
      <c r="K20" s="85"/>
      <c r="L20" s="85"/>
      <c r="M20" s="85"/>
      <c r="N20" s="85"/>
      <c r="O20" s="85"/>
      <c r="P20" s="81">
        <f>SUM(D20:O20)</f>
        <v>17066151.129999999</v>
      </c>
      <c r="Q20" s="58"/>
      <c r="R20" s="59"/>
      <c r="S20" s="49"/>
    </row>
    <row r="21" spans="1:19" s="32" customFormat="1" x14ac:dyDescent="0.2">
      <c r="A21" s="86" t="s">
        <v>16</v>
      </c>
      <c r="B21" s="87"/>
      <c r="C21" s="88">
        <v>515000</v>
      </c>
      <c r="D21" s="89"/>
      <c r="E21" s="90"/>
      <c r="F21" s="89"/>
      <c r="G21" s="91"/>
      <c r="H21" s="92">
        <v>10360.4</v>
      </c>
      <c r="I21" s="91">
        <v>37517.82</v>
      </c>
      <c r="J21" s="84">
        <v>15930</v>
      </c>
      <c r="K21" s="85"/>
      <c r="L21" s="85"/>
      <c r="M21" s="85"/>
      <c r="N21" s="85"/>
      <c r="O21" s="85"/>
      <c r="P21" s="89">
        <f t="shared" ref="P21:P48" si="5">SUM(D21:O21)</f>
        <v>63808.22</v>
      </c>
      <c r="Q21" s="58"/>
      <c r="R21" s="59"/>
      <c r="S21" s="49"/>
    </row>
    <row r="22" spans="1:19" s="32" customFormat="1" x14ac:dyDescent="0.2">
      <c r="A22" s="86" t="s">
        <v>17</v>
      </c>
      <c r="B22" s="87">
        <v>3000000</v>
      </c>
      <c r="C22" s="88">
        <f>1000000+1000000</f>
        <v>2000000</v>
      </c>
      <c r="D22" s="89"/>
      <c r="E22" s="90"/>
      <c r="F22" s="89"/>
      <c r="G22" s="93"/>
      <c r="H22" s="92">
        <v>88600</v>
      </c>
      <c r="I22" s="91"/>
      <c r="J22" s="84"/>
      <c r="K22" s="85"/>
      <c r="L22" s="85"/>
      <c r="M22" s="85"/>
      <c r="N22" s="85"/>
      <c r="O22" s="85"/>
      <c r="P22" s="89">
        <f t="shared" si="5"/>
        <v>88600</v>
      </c>
      <c r="Q22" s="58"/>
      <c r="R22" s="59"/>
      <c r="S22" s="49"/>
    </row>
    <row r="23" spans="1:19" s="32" customFormat="1" x14ac:dyDescent="0.2">
      <c r="A23" s="86" t="s">
        <v>18</v>
      </c>
      <c r="B23" s="87"/>
      <c r="C23" s="88">
        <v>1000000</v>
      </c>
      <c r="D23" s="89"/>
      <c r="E23" s="90"/>
      <c r="F23" s="89"/>
      <c r="G23" s="91"/>
      <c r="H23" s="92"/>
      <c r="I23" s="91"/>
      <c r="J23" s="84"/>
      <c r="K23" s="85"/>
      <c r="L23" s="85"/>
      <c r="M23" s="85"/>
      <c r="N23" s="85"/>
      <c r="O23" s="85"/>
      <c r="P23" s="89">
        <f t="shared" si="5"/>
        <v>0</v>
      </c>
      <c r="Q23" s="58"/>
      <c r="R23" s="59"/>
      <c r="S23" s="49"/>
    </row>
    <row r="24" spans="1:19" s="32" customFormat="1" x14ac:dyDescent="0.2">
      <c r="A24" s="86" t="s">
        <v>19</v>
      </c>
      <c r="B24" s="87">
        <v>900000</v>
      </c>
      <c r="C24" s="88">
        <v>900000</v>
      </c>
      <c r="D24" s="89">
        <v>0</v>
      </c>
      <c r="E24" s="90">
        <v>129800</v>
      </c>
      <c r="F24" s="91">
        <v>0</v>
      </c>
      <c r="G24" s="91">
        <v>129800</v>
      </c>
      <c r="H24" s="91"/>
      <c r="I24" s="92">
        <v>129800</v>
      </c>
      <c r="J24" s="84">
        <v>64900</v>
      </c>
      <c r="K24" s="85"/>
      <c r="L24" s="85"/>
      <c r="M24" s="85"/>
      <c r="N24" s="85"/>
      <c r="O24" s="85"/>
      <c r="P24" s="89">
        <f t="shared" si="5"/>
        <v>454300</v>
      </c>
      <c r="Q24" s="58"/>
      <c r="R24" s="59"/>
      <c r="S24" s="49"/>
    </row>
    <row r="25" spans="1:19" x14ac:dyDescent="0.2">
      <c r="A25" s="60" t="s">
        <v>20</v>
      </c>
      <c r="B25" s="61">
        <v>4000000</v>
      </c>
      <c r="C25" s="62">
        <v>4000000</v>
      </c>
      <c r="D25" s="63">
        <v>244853.41</v>
      </c>
      <c r="E25" s="64">
        <v>197231.88</v>
      </c>
      <c r="F25" s="65">
        <v>198652.19</v>
      </c>
      <c r="G25" s="65">
        <v>188648.41</v>
      </c>
      <c r="H25" s="66">
        <v>328725.33</v>
      </c>
      <c r="I25" s="66">
        <v>339258.63</v>
      </c>
      <c r="J25" s="84">
        <v>311658.59999999998</v>
      </c>
      <c r="P25" s="63">
        <f t="shared" si="5"/>
        <v>1809028.4500000002</v>
      </c>
      <c r="Q25" s="58"/>
      <c r="R25" s="59"/>
      <c r="S25" s="49"/>
    </row>
    <row r="26" spans="1:19" x14ac:dyDescent="0.2">
      <c r="A26" s="60" t="s">
        <v>21</v>
      </c>
      <c r="B26" s="61">
        <v>32750000</v>
      </c>
      <c r="C26" s="62">
        <f>27645500+1000000+500000+350000+750000</f>
        <v>30245500</v>
      </c>
      <c r="D26" s="63"/>
      <c r="E26" s="64"/>
      <c r="F26" s="63"/>
      <c r="G26" s="65"/>
      <c r="H26" s="65"/>
      <c r="I26" s="65"/>
      <c r="J26" s="84"/>
      <c r="P26" s="63">
        <f t="shared" si="5"/>
        <v>0</v>
      </c>
      <c r="Q26" s="58"/>
      <c r="R26" s="59"/>
      <c r="S26" s="49"/>
    </row>
    <row r="27" spans="1:19" x14ac:dyDescent="0.2">
      <c r="A27" s="60" t="s">
        <v>22</v>
      </c>
      <c r="B27" s="61">
        <v>8700000</v>
      </c>
      <c r="C27" s="62">
        <f>1000000+1500000+5350000+150000+1200000</f>
        <v>9200000</v>
      </c>
      <c r="D27" s="63"/>
      <c r="E27" s="64"/>
      <c r="F27" s="63"/>
      <c r="G27" s="65">
        <v>1100000</v>
      </c>
      <c r="H27" s="66">
        <v>448423.6</v>
      </c>
      <c r="I27" s="66">
        <v>250000</v>
      </c>
      <c r="J27" s="94">
        <v>386122.18</v>
      </c>
      <c r="P27" s="63">
        <f t="shared" si="5"/>
        <v>2184545.7800000003</v>
      </c>
      <c r="Q27" s="58"/>
      <c r="R27" s="59"/>
      <c r="S27" s="49"/>
    </row>
    <row r="28" spans="1:19" ht="13.5" thickBot="1" x14ac:dyDescent="0.25">
      <c r="A28" s="68" t="s">
        <v>23</v>
      </c>
      <c r="B28" s="69">
        <v>3200000</v>
      </c>
      <c r="C28" s="70">
        <f>1200000+2000000</f>
        <v>3200000</v>
      </c>
      <c r="D28" s="71"/>
      <c r="E28" s="72"/>
      <c r="F28" s="71"/>
      <c r="G28" s="73"/>
      <c r="H28" s="74">
        <v>207644.6</v>
      </c>
      <c r="I28" s="73"/>
      <c r="J28" s="62">
        <v>307153.67</v>
      </c>
      <c r="P28" s="71">
        <f t="shared" si="5"/>
        <v>514798.27</v>
      </c>
      <c r="Q28" s="58"/>
      <c r="R28" s="59"/>
      <c r="S28" s="49"/>
    </row>
    <row r="29" spans="1:19" s="77" customFormat="1" ht="13.5" thickBot="1" x14ac:dyDescent="0.25">
      <c r="A29" s="41" t="s">
        <v>24</v>
      </c>
      <c r="B29" s="42">
        <f>SUM(B30:B38)</f>
        <v>13835000</v>
      </c>
      <c r="C29" s="43">
        <f>SUM(C30:C38)</f>
        <v>14961900</v>
      </c>
      <c r="D29" s="42">
        <f t="shared" ref="D29:O29" si="6">SUM(D30:D38)</f>
        <v>225500</v>
      </c>
      <c r="E29" s="95">
        <f t="shared" si="6"/>
        <v>225500</v>
      </c>
      <c r="F29" s="42">
        <f t="shared" si="6"/>
        <v>770500</v>
      </c>
      <c r="G29" s="42">
        <f>SUM(G30:G38)</f>
        <v>220500</v>
      </c>
      <c r="H29" s="42">
        <f t="shared" si="6"/>
        <v>333308</v>
      </c>
      <c r="I29" s="42">
        <f>SUM(I30:I38)</f>
        <v>655120.56999999995</v>
      </c>
      <c r="J29" s="42">
        <f>SUM(J30:J38)</f>
        <v>2307618.8899999997</v>
      </c>
      <c r="K29" s="42">
        <f t="shared" si="6"/>
        <v>0</v>
      </c>
      <c r="L29" s="42">
        <f t="shared" si="6"/>
        <v>0</v>
      </c>
      <c r="M29" s="42">
        <f t="shared" si="6"/>
        <v>0</v>
      </c>
      <c r="N29" s="42">
        <f t="shared" si="6"/>
        <v>0</v>
      </c>
      <c r="O29" s="42">
        <f t="shared" si="6"/>
        <v>0</v>
      </c>
      <c r="P29" s="46">
        <f>SUM(P30:P38)</f>
        <v>4738047.46</v>
      </c>
      <c r="Q29" s="47"/>
      <c r="R29" s="48"/>
      <c r="S29" s="76"/>
    </row>
    <row r="30" spans="1:19" x14ac:dyDescent="0.2">
      <c r="A30" s="50" t="s">
        <v>25</v>
      </c>
      <c r="B30" s="51">
        <v>1000000</v>
      </c>
      <c r="C30" s="52">
        <f>1000000+150000</f>
        <v>1150000</v>
      </c>
      <c r="D30" s="53"/>
      <c r="E30" s="54"/>
      <c r="F30" s="53"/>
      <c r="G30" s="55"/>
      <c r="H30" s="55"/>
      <c r="I30" s="56">
        <v>124999.99</v>
      </c>
      <c r="J30" s="96"/>
      <c r="K30" s="55"/>
      <c r="L30" s="55"/>
      <c r="M30" s="55"/>
      <c r="N30" s="55"/>
      <c r="O30" s="55"/>
      <c r="P30" s="53">
        <f t="shared" si="5"/>
        <v>124999.99</v>
      </c>
      <c r="Q30" s="58"/>
      <c r="R30" s="59"/>
      <c r="S30" s="49"/>
    </row>
    <row r="31" spans="1:19" x14ac:dyDescent="0.2">
      <c r="A31" s="60" t="s">
        <v>26</v>
      </c>
      <c r="B31" s="61">
        <v>1200000</v>
      </c>
      <c r="C31" s="62">
        <f>200000+1000000</f>
        <v>1200000</v>
      </c>
      <c r="D31" s="63"/>
      <c r="E31" s="64"/>
      <c r="F31" s="63"/>
      <c r="G31" s="65"/>
      <c r="H31" s="65"/>
      <c r="I31" s="65"/>
      <c r="J31" s="96"/>
      <c r="K31" s="65"/>
      <c r="L31" s="65"/>
      <c r="M31" s="65"/>
      <c r="N31" s="65"/>
      <c r="O31" s="65"/>
      <c r="P31" s="63">
        <f t="shared" si="5"/>
        <v>0</v>
      </c>
      <c r="Q31" s="58"/>
      <c r="R31" s="59"/>
      <c r="S31" s="49"/>
    </row>
    <row r="32" spans="1:19" x14ac:dyDescent="0.2">
      <c r="A32" s="60" t="s">
        <v>27</v>
      </c>
      <c r="B32" s="61">
        <v>500000</v>
      </c>
      <c r="C32" s="62">
        <v>685000</v>
      </c>
      <c r="D32" s="63"/>
      <c r="E32" s="64"/>
      <c r="F32" s="63"/>
      <c r="G32" s="65"/>
      <c r="H32" s="65"/>
      <c r="I32" s="66">
        <v>4092.24</v>
      </c>
      <c r="J32" s="62">
        <v>534997.84</v>
      </c>
      <c r="K32" s="65"/>
      <c r="L32" s="65"/>
      <c r="M32" s="65"/>
      <c r="N32" s="65"/>
      <c r="O32" s="65"/>
      <c r="P32" s="63">
        <f t="shared" si="5"/>
        <v>539090.07999999996</v>
      </c>
      <c r="Q32" s="58"/>
      <c r="R32" s="59"/>
      <c r="S32" s="49"/>
    </row>
    <row r="33" spans="1:19" x14ac:dyDescent="0.2">
      <c r="A33" s="60" t="s">
        <v>28</v>
      </c>
      <c r="B33" s="61"/>
      <c r="C33" s="62"/>
      <c r="D33" s="63"/>
      <c r="E33" s="64"/>
      <c r="F33" s="63"/>
      <c r="G33" s="65"/>
      <c r="H33" s="65"/>
      <c r="I33" s="65"/>
      <c r="J33" s="62"/>
      <c r="K33" s="65"/>
      <c r="L33" s="65"/>
      <c r="M33" s="65"/>
      <c r="N33" s="65"/>
      <c r="O33" s="65"/>
      <c r="P33" s="63">
        <f t="shared" si="5"/>
        <v>0</v>
      </c>
      <c r="Q33" s="58"/>
      <c r="R33" s="59"/>
      <c r="S33" s="49"/>
    </row>
    <row r="34" spans="1:19" x14ac:dyDescent="0.2">
      <c r="A34" s="60" t="s">
        <v>29</v>
      </c>
      <c r="B34" s="61"/>
      <c r="C34" s="62">
        <v>14400</v>
      </c>
      <c r="D34" s="63"/>
      <c r="E34" s="64"/>
      <c r="F34" s="63"/>
      <c r="G34" s="65"/>
      <c r="H34" s="65"/>
      <c r="I34" s="65"/>
      <c r="J34" s="62"/>
      <c r="K34" s="65"/>
      <c r="L34" s="65"/>
      <c r="M34" s="65"/>
      <c r="N34" s="65"/>
      <c r="O34" s="65"/>
      <c r="P34" s="63">
        <f t="shared" si="5"/>
        <v>0</v>
      </c>
      <c r="Q34" s="58"/>
      <c r="R34" s="59"/>
      <c r="S34" s="49"/>
    </row>
    <row r="35" spans="1:19" x14ac:dyDescent="0.2">
      <c r="A35" s="60" t="s">
        <v>30</v>
      </c>
      <c r="B35" s="61"/>
      <c r="C35" s="62">
        <f>25000+157500</f>
        <v>182500</v>
      </c>
      <c r="D35" s="63"/>
      <c r="E35" s="64"/>
      <c r="F35" s="63"/>
      <c r="G35" s="65"/>
      <c r="H35" s="65"/>
      <c r="I35" s="65">
        <f>17599.7+57454.2</f>
        <v>75053.899999999994</v>
      </c>
      <c r="J35" s="62"/>
      <c r="K35" s="65"/>
      <c r="L35" s="65"/>
      <c r="M35" s="65"/>
      <c r="N35" s="65"/>
      <c r="O35" s="65"/>
      <c r="P35" s="63">
        <f t="shared" si="5"/>
        <v>75053.899999999994</v>
      </c>
      <c r="Q35" s="58"/>
      <c r="R35" s="59"/>
      <c r="S35" s="49"/>
    </row>
    <row r="36" spans="1:19" x14ac:dyDescent="0.2">
      <c r="A36" s="60" t="s">
        <v>31</v>
      </c>
      <c r="B36" s="61">
        <v>5100000</v>
      </c>
      <c r="C36" s="62">
        <f>3600000+1500000+200000</f>
        <v>5300000</v>
      </c>
      <c r="D36" s="63">
        <v>225500</v>
      </c>
      <c r="E36" s="64">
        <v>225500</v>
      </c>
      <c r="F36" s="65">
        <v>770500</v>
      </c>
      <c r="G36" s="66">
        <v>220500</v>
      </c>
      <c r="H36" s="66">
        <v>220500</v>
      </c>
      <c r="I36" s="65">
        <f>214719.71+33378.5</f>
        <v>248098.21</v>
      </c>
      <c r="J36" s="62">
        <v>785500</v>
      </c>
      <c r="K36" s="65"/>
      <c r="L36" s="65"/>
      <c r="M36" s="65"/>
      <c r="N36" s="65"/>
      <c r="O36" s="65"/>
      <c r="P36" s="63">
        <f t="shared" si="5"/>
        <v>2696098.21</v>
      </c>
      <c r="Q36" s="58"/>
      <c r="R36" s="59"/>
      <c r="S36" s="49"/>
    </row>
    <row r="37" spans="1:19" x14ac:dyDescent="0.2">
      <c r="A37" s="60" t="s">
        <v>32</v>
      </c>
      <c r="B37" s="61"/>
      <c r="C37" s="62"/>
      <c r="D37" s="63"/>
      <c r="E37" s="64"/>
      <c r="F37" s="63"/>
      <c r="G37" s="65"/>
      <c r="H37" s="65"/>
      <c r="I37" s="65"/>
      <c r="J37" s="62"/>
      <c r="K37" s="65"/>
      <c r="L37" s="65"/>
      <c r="M37" s="65"/>
      <c r="N37" s="65"/>
      <c r="O37" s="65"/>
      <c r="P37" s="63">
        <f t="shared" si="5"/>
        <v>0</v>
      </c>
      <c r="Q37" s="58"/>
      <c r="R37" s="59"/>
      <c r="S37" s="49"/>
    </row>
    <row r="38" spans="1:19" ht="13.5" thickBot="1" x14ac:dyDescent="0.25">
      <c r="A38" s="68" t="s">
        <v>33</v>
      </c>
      <c r="B38" s="69">
        <v>6035000</v>
      </c>
      <c r="C38" s="70">
        <f>3000000+1800000+70000+1500000+50000+10000</f>
        <v>6430000</v>
      </c>
      <c r="D38" s="71"/>
      <c r="E38" s="72"/>
      <c r="F38" s="71"/>
      <c r="G38" s="73"/>
      <c r="H38" s="74">
        <v>112808</v>
      </c>
      <c r="I38" s="74">
        <f>55068.59+147807.64</f>
        <v>202876.23</v>
      </c>
      <c r="J38" s="97">
        <v>987121.05</v>
      </c>
      <c r="K38" s="73"/>
      <c r="L38" s="73"/>
      <c r="M38" s="73"/>
      <c r="N38" s="73"/>
      <c r="O38" s="73"/>
      <c r="P38" s="71">
        <f t="shared" si="5"/>
        <v>1302805.28</v>
      </c>
      <c r="Q38" s="58"/>
      <c r="R38" s="59"/>
      <c r="S38" s="49"/>
    </row>
    <row r="39" spans="1:19" s="77" customFormat="1" ht="13.5" thickBot="1" x14ac:dyDescent="0.25">
      <c r="A39" s="41" t="s">
        <v>34</v>
      </c>
      <c r="B39" s="42">
        <f>SUM(B40:B48)</f>
        <v>1500000</v>
      </c>
      <c r="C39" s="43">
        <f t="shared" ref="C39:G39" si="7">SUM(C40:C48)</f>
        <v>1862600</v>
      </c>
      <c r="D39" s="42">
        <f t="shared" si="7"/>
        <v>0</v>
      </c>
      <c r="E39" s="95">
        <f t="shared" si="7"/>
        <v>0</v>
      </c>
      <c r="F39" s="42">
        <f t="shared" si="7"/>
        <v>0</v>
      </c>
      <c r="G39" s="42">
        <f t="shared" si="7"/>
        <v>0</v>
      </c>
      <c r="H39" s="42">
        <f>SUM(H40:H48)</f>
        <v>0</v>
      </c>
      <c r="I39" s="42">
        <f t="shared" ref="I39:O39" si="8">SUM(I40:I48)</f>
        <v>159943.48000000001</v>
      </c>
      <c r="J39" s="42">
        <f t="shared" si="8"/>
        <v>1089653.06</v>
      </c>
      <c r="K39" s="42">
        <f t="shared" si="8"/>
        <v>0</v>
      </c>
      <c r="L39" s="42">
        <f t="shared" si="8"/>
        <v>0</v>
      </c>
      <c r="M39" s="42">
        <f t="shared" si="8"/>
        <v>0</v>
      </c>
      <c r="N39" s="42">
        <f t="shared" si="8"/>
        <v>0</v>
      </c>
      <c r="O39" s="42">
        <f t="shared" si="8"/>
        <v>0</v>
      </c>
      <c r="P39" s="98">
        <f>SUM(P40:P48)</f>
        <v>1249596.54</v>
      </c>
      <c r="Q39" s="47"/>
      <c r="R39" s="48"/>
      <c r="S39" s="76"/>
    </row>
    <row r="40" spans="1:19" x14ac:dyDescent="0.2">
      <c r="A40" s="50" t="s">
        <v>35</v>
      </c>
      <c r="B40" s="51">
        <v>1500000</v>
      </c>
      <c r="C40" s="52">
        <f>1500000+43000+240000</f>
        <v>1783000</v>
      </c>
      <c r="D40" s="53"/>
      <c r="E40" s="54"/>
      <c r="F40" s="53"/>
      <c r="G40" s="55"/>
      <c r="H40" s="55"/>
      <c r="I40" s="56">
        <v>159943.48000000001</v>
      </c>
      <c r="J40" s="97">
        <v>1089653.06</v>
      </c>
      <c r="K40" s="55"/>
      <c r="L40" s="55"/>
      <c r="M40" s="55"/>
      <c r="N40" s="55"/>
      <c r="O40" s="55"/>
      <c r="P40" s="53">
        <f>SUM(D40:O40)</f>
        <v>1249596.54</v>
      </c>
      <c r="Q40" s="58"/>
      <c r="R40" s="59"/>
      <c r="S40" s="49"/>
    </row>
    <row r="41" spans="1:19" x14ac:dyDescent="0.2">
      <c r="A41" s="60" t="s">
        <v>36</v>
      </c>
      <c r="B41" s="61"/>
      <c r="C41" s="67"/>
      <c r="D41" s="63"/>
      <c r="E41" s="64"/>
      <c r="F41" s="63"/>
      <c r="G41" s="65"/>
      <c r="H41" s="65"/>
      <c r="I41" s="65"/>
      <c r="J41" s="96"/>
      <c r="K41" s="65"/>
      <c r="L41" s="65"/>
      <c r="M41" s="65"/>
      <c r="N41" s="65"/>
      <c r="O41" s="65"/>
      <c r="P41" s="63">
        <f t="shared" si="5"/>
        <v>0</v>
      </c>
      <c r="Q41" s="58"/>
      <c r="R41" s="59"/>
      <c r="S41" s="49"/>
    </row>
    <row r="42" spans="1:19" x14ac:dyDescent="0.2">
      <c r="A42" s="60" t="s">
        <v>37</v>
      </c>
      <c r="B42" s="61"/>
      <c r="C42" s="67"/>
      <c r="D42" s="63"/>
      <c r="E42" s="64"/>
      <c r="F42" s="63"/>
      <c r="G42" s="65"/>
      <c r="H42" s="65"/>
      <c r="I42" s="65"/>
      <c r="J42" s="96"/>
      <c r="K42" s="65"/>
      <c r="L42" s="65"/>
      <c r="M42" s="65"/>
      <c r="N42" s="65"/>
      <c r="O42" s="65"/>
      <c r="P42" s="63">
        <f t="shared" si="5"/>
        <v>0</v>
      </c>
      <c r="Q42" s="58"/>
      <c r="R42" s="59"/>
      <c r="S42" s="49"/>
    </row>
    <row r="43" spans="1:19" x14ac:dyDescent="0.2">
      <c r="A43" s="60" t="s">
        <v>38</v>
      </c>
      <c r="B43" s="61"/>
      <c r="C43" s="67"/>
      <c r="D43" s="63"/>
      <c r="E43" s="64"/>
      <c r="F43" s="63"/>
      <c r="G43" s="65"/>
      <c r="H43" s="65"/>
      <c r="I43" s="65"/>
      <c r="J43" s="96"/>
      <c r="K43" s="65"/>
      <c r="L43" s="65"/>
      <c r="M43" s="65"/>
      <c r="N43" s="65"/>
      <c r="O43" s="65"/>
      <c r="P43" s="63">
        <f t="shared" si="5"/>
        <v>0</v>
      </c>
      <c r="Q43" s="58"/>
      <c r="R43" s="59"/>
      <c r="S43" s="49"/>
    </row>
    <row r="44" spans="1:19" x14ac:dyDescent="0.2">
      <c r="A44" s="60" t="s">
        <v>39</v>
      </c>
      <c r="B44" s="61"/>
      <c r="C44" s="62">
        <v>79600</v>
      </c>
      <c r="D44" s="63"/>
      <c r="E44" s="64"/>
      <c r="F44" s="63"/>
      <c r="G44" s="65"/>
      <c r="H44" s="65"/>
      <c r="I44" s="65"/>
      <c r="J44" s="97"/>
      <c r="K44" s="65"/>
      <c r="L44" s="65"/>
      <c r="M44" s="65"/>
      <c r="N44" s="65"/>
      <c r="O44" s="65"/>
      <c r="P44" s="63">
        <f t="shared" si="5"/>
        <v>0</v>
      </c>
      <c r="Q44" s="58"/>
      <c r="R44" s="59"/>
      <c r="S44" s="49"/>
    </row>
    <row r="45" spans="1:19" x14ac:dyDescent="0.2">
      <c r="A45" s="60" t="s">
        <v>40</v>
      </c>
      <c r="B45" s="61"/>
      <c r="C45" s="67"/>
      <c r="D45" s="63"/>
      <c r="E45" s="64"/>
      <c r="F45" s="63"/>
      <c r="G45" s="65"/>
      <c r="H45" s="65"/>
      <c r="I45" s="65"/>
      <c r="J45" s="96"/>
      <c r="K45" s="65"/>
      <c r="L45" s="65"/>
      <c r="M45" s="65"/>
      <c r="N45" s="65"/>
      <c r="O45" s="65"/>
      <c r="P45" s="63">
        <f t="shared" si="5"/>
        <v>0</v>
      </c>
      <c r="Q45" s="58"/>
      <c r="R45" s="59"/>
      <c r="S45" s="49"/>
    </row>
    <row r="46" spans="1:19" x14ac:dyDescent="0.2">
      <c r="A46" s="60" t="s">
        <v>41</v>
      </c>
      <c r="B46" s="61"/>
      <c r="C46" s="67"/>
      <c r="D46" s="63"/>
      <c r="E46" s="64"/>
      <c r="F46" s="63"/>
      <c r="G46" s="65"/>
      <c r="H46" s="65"/>
      <c r="I46" s="65"/>
      <c r="J46" s="96"/>
      <c r="K46" s="65"/>
      <c r="L46" s="65"/>
      <c r="M46" s="65"/>
      <c r="N46" s="65"/>
      <c r="O46" s="65"/>
      <c r="P46" s="63">
        <f t="shared" si="5"/>
        <v>0</v>
      </c>
    </row>
    <row r="47" spans="1:19" x14ac:dyDescent="0.2">
      <c r="A47" s="60" t="s">
        <v>42</v>
      </c>
      <c r="B47" s="61"/>
      <c r="C47" s="67"/>
      <c r="D47" s="63"/>
      <c r="E47" s="64"/>
      <c r="F47" s="63"/>
      <c r="G47" s="65"/>
      <c r="H47" s="65"/>
      <c r="I47" s="65"/>
      <c r="J47" s="96"/>
      <c r="K47" s="65"/>
      <c r="L47" s="65"/>
      <c r="M47" s="65"/>
      <c r="N47" s="65"/>
      <c r="O47" s="65"/>
      <c r="P47" s="63">
        <f t="shared" si="5"/>
        <v>0</v>
      </c>
    </row>
    <row r="48" spans="1:19" x14ac:dyDescent="0.2">
      <c r="A48" s="60" t="s">
        <v>43</v>
      </c>
      <c r="B48" s="61"/>
      <c r="C48" s="67"/>
      <c r="D48" s="63"/>
      <c r="E48" s="64"/>
      <c r="F48" s="63"/>
      <c r="G48" s="65"/>
      <c r="H48" s="65"/>
      <c r="I48" s="65"/>
      <c r="J48" s="96"/>
      <c r="K48" s="65"/>
      <c r="L48" s="65"/>
      <c r="M48" s="65"/>
      <c r="N48" s="65"/>
      <c r="O48" s="65"/>
      <c r="P48" s="63">
        <f t="shared" si="5"/>
        <v>0</v>
      </c>
    </row>
    <row r="49" spans="1:23" s="102" customFormat="1" x14ac:dyDescent="0.2">
      <c r="A49" s="99" t="s">
        <v>44</v>
      </c>
      <c r="B49" s="100">
        <f>+B13+B19+B29+B39</f>
        <v>653027387</v>
      </c>
      <c r="C49" s="100">
        <f t="shared" ref="C49:F49" si="9">+C13+C19+C29+C39</f>
        <v>653027387</v>
      </c>
      <c r="D49" s="100">
        <f t="shared" si="9"/>
        <v>34794719.310000002</v>
      </c>
      <c r="E49" s="101">
        <f t="shared" si="9"/>
        <v>35874710.159999996</v>
      </c>
      <c r="F49" s="100">
        <f t="shared" si="9"/>
        <v>38863685.929999992</v>
      </c>
      <c r="G49" s="100">
        <f>+G13+G19+G29+G39</f>
        <v>40904290.339999996</v>
      </c>
      <c r="H49" s="100">
        <f>+H13+H19+H29+H39</f>
        <v>39574826.699999996</v>
      </c>
      <c r="I49" s="100">
        <f>+I13+I19+I29+I39</f>
        <v>42560642.419999994</v>
      </c>
      <c r="J49" s="100">
        <f t="shared" ref="J49:O49" si="10">+J13+J19+J29+J39</f>
        <v>43594456.18</v>
      </c>
      <c r="K49" s="100">
        <f t="shared" si="10"/>
        <v>0</v>
      </c>
      <c r="L49" s="100">
        <f t="shared" si="10"/>
        <v>0</v>
      </c>
      <c r="M49" s="100">
        <f t="shared" si="10"/>
        <v>0</v>
      </c>
      <c r="N49" s="100">
        <f t="shared" si="10"/>
        <v>0</v>
      </c>
      <c r="O49" s="100">
        <f t="shared" si="10"/>
        <v>0</v>
      </c>
      <c r="P49" s="100">
        <f>+P13+P19+P29+P39</f>
        <v>276167331.03999996</v>
      </c>
      <c r="Q49" s="30"/>
      <c r="R49" s="31"/>
      <c r="S49" s="32"/>
      <c r="T49" s="16"/>
      <c r="U49" s="16"/>
      <c r="V49" s="16"/>
      <c r="W49" s="16"/>
    </row>
    <row r="50" spans="1:23" x14ac:dyDescent="0.2">
      <c r="A50" s="16" t="s">
        <v>63</v>
      </c>
    </row>
    <row r="51" spans="1:23" x14ac:dyDescent="0.2">
      <c r="A51" s="16" t="s">
        <v>64</v>
      </c>
      <c r="B51" s="29"/>
      <c r="C51" s="103"/>
      <c r="D51" s="29"/>
      <c r="E51" s="104"/>
      <c r="F51" s="29"/>
      <c r="M51" s="16"/>
      <c r="N51" s="16"/>
      <c r="O51" s="16"/>
      <c r="P51" s="16"/>
    </row>
    <row r="52" spans="1:23" x14ac:dyDescent="0.2">
      <c r="A52" s="16" t="s">
        <v>65</v>
      </c>
      <c r="B52" s="29"/>
      <c r="C52" s="103"/>
      <c r="D52" s="29"/>
      <c r="E52" s="104"/>
      <c r="F52" s="29"/>
      <c r="M52" s="16"/>
      <c r="N52" s="16"/>
      <c r="O52" s="16"/>
      <c r="P52" s="16"/>
    </row>
    <row r="53" spans="1:23" x14ac:dyDescent="0.2">
      <c r="B53" s="29"/>
      <c r="C53" s="103"/>
      <c r="D53" s="29"/>
      <c r="E53" s="104"/>
      <c r="F53" s="29"/>
      <c r="M53" s="16"/>
      <c r="N53" s="16"/>
      <c r="O53" s="16"/>
      <c r="P53" s="16"/>
    </row>
    <row r="54" spans="1:23" x14ac:dyDescent="0.2">
      <c r="B54" s="29"/>
      <c r="C54" s="103"/>
      <c r="D54" s="29"/>
      <c r="E54" s="104"/>
      <c r="F54" s="29"/>
      <c r="M54" s="16"/>
      <c r="N54" s="16"/>
      <c r="O54" s="16"/>
      <c r="P54" s="16"/>
    </row>
    <row r="55" spans="1:23" ht="28.5" customHeight="1" x14ac:dyDescent="0.2">
      <c r="B55" s="29"/>
      <c r="C55" s="103"/>
      <c r="D55" s="29"/>
      <c r="E55" s="104"/>
      <c r="F55" s="29"/>
      <c r="M55" s="16"/>
      <c r="N55" s="16"/>
      <c r="O55" s="16"/>
      <c r="P55" s="16"/>
    </row>
    <row r="56" spans="1:23" x14ac:dyDescent="0.2">
      <c r="A56" s="16" t="s">
        <v>47</v>
      </c>
      <c r="B56" s="29"/>
      <c r="C56" s="103"/>
      <c r="D56" s="29"/>
      <c r="E56" s="104"/>
      <c r="F56" s="29"/>
      <c r="M56" s="16"/>
      <c r="N56" s="16"/>
      <c r="O56" s="16"/>
      <c r="P56" s="16"/>
    </row>
    <row r="57" spans="1:23" x14ac:dyDescent="0.2">
      <c r="A57" s="105" t="s">
        <v>66</v>
      </c>
      <c r="D57" s="16"/>
      <c r="E57" s="104"/>
      <c r="J57" s="17"/>
      <c r="K57" s="16"/>
      <c r="L57" s="16"/>
      <c r="M57" s="16"/>
      <c r="N57" s="16"/>
      <c r="O57" s="16"/>
      <c r="P57" s="16"/>
    </row>
    <row r="58" spans="1:23" x14ac:dyDescent="0.2">
      <c r="A58" s="106" t="s">
        <v>67</v>
      </c>
      <c r="D58" s="16"/>
      <c r="E58" s="107"/>
      <c r="J58" s="105"/>
      <c r="K58" s="16"/>
      <c r="L58" s="16"/>
      <c r="M58" s="16"/>
      <c r="N58" s="16"/>
      <c r="O58" s="16"/>
      <c r="P58" s="16"/>
    </row>
    <row r="59" spans="1:23" x14ac:dyDescent="0.2">
      <c r="D59" s="16"/>
      <c r="E59" s="107"/>
      <c r="J59" s="106"/>
      <c r="K59" s="16"/>
      <c r="L59" s="16"/>
      <c r="M59" s="16"/>
      <c r="N59" s="16"/>
      <c r="O59" s="16"/>
      <c r="P59" s="16"/>
    </row>
    <row r="60" spans="1:23" x14ac:dyDescent="0.2">
      <c r="D60" s="16"/>
      <c r="E60" s="107"/>
      <c r="J60" s="106"/>
      <c r="K60" s="16"/>
      <c r="L60" s="16"/>
      <c r="M60" s="16"/>
      <c r="N60" s="16"/>
      <c r="O60" s="16"/>
      <c r="P60" s="16"/>
    </row>
    <row r="61" spans="1:23" ht="13.5" thickBot="1" x14ac:dyDescent="0.25">
      <c r="A61" s="108"/>
      <c r="D61" s="16"/>
      <c r="E61" s="107"/>
      <c r="J61" s="109"/>
      <c r="K61" s="16"/>
      <c r="L61" s="16"/>
      <c r="M61" s="16"/>
      <c r="N61" s="16"/>
      <c r="O61" s="16"/>
      <c r="P61" s="16"/>
    </row>
    <row r="62" spans="1:23" ht="13.5" thickBot="1" x14ac:dyDescent="0.25">
      <c r="D62" s="16"/>
      <c r="E62" s="107"/>
      <c r="J62" s="108"/>
      <c r="K62" s="108"/>
      <c r="L62" s="108"/>
      <c r="M62" s="16"/>
      <c r="N62" s="16"/>
      <c r="O62" s="16"/>
      <c r="P62" s="16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70866141732283472" right="0.70866141732283472" top="0.74803149606299213" bottom="0.74803149606299213" header="0.31496062992125984" footer="0.31496062992125984"/>
  <pageSetup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2022-08-01T18:56:13Z</cp:lastPrinted>
  <dcterms:created xsi:type="dcterms:W3CDTF">2022-07-08T12:51:12Z</dcterms:created>
  <dcterms:modified xsi:type="dcterms:W3CDTF">2022-08-02T11:51:18Z</dcterms:modified>
</cp:coreProperties>
</file>