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oc. Realizados\"/>
    </mc:Choice>
  </mc:AlternateContent>
  <bookViews>
    <workbookView xWindow="0" yWindow="0" windowWidth="20490" windowHeight="7650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8" i="2" l="1"/>
  <c r="P47" i="2"/>
  <c r="P46" i="2"/>
  <c r="P45" i="2"/>
  <c r="P44" i="2"/>
  <c r="P43" i="2"/>
  <c r="P42" i="2"/>
  <c r="P41" i="2"/>
  <c r="P40" i="2"/>
  <c r="C40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I38" i="2"/>
  <c r="C38" i="2"/>
  <c r="P37" i="2"/>
  <c r="I36" i="2"/>
  <c r="P36" i="2" s="1"/>
  <c r="C36" i="2"/>
  <c r="I35" i="2"/>
  <c r="P35" i="2" s="1"/>
  <c r="C35" i="2"/>
  <c r="P34" i="2"/>
  <c r="P33" i="2"/>
  <c r="P32" i="2"/>
  <c r="P31" i="2"/>
  <c r="C31" i="2"/>
  <c r="P30" i="2"/>
  <c r="C30" i="2"/>
  <c r="O29" i="2"/>
  <c r="N29" i="2"/>
  <c r="M29" i="2"/>
  <c r="L29" i="2"/>
  <c r="K29" i="2"/>
  <c r="J29" i="2"/>
  <c r="H29" i="2"/>
  <c r="G29" i="2"/>
  <c r="F29" i="2"/>
  <c r="E29" i="2"/>
  <c r="D29" i="2"/>
  <c r="B29" i="2"/>
  <c r="P28" i="2"/>
  <c r="C28" i="2"/>
  <c r="P27" i="2"/>
  <c r="C27" i="2"/>
  <c r="P26" i="2"/>
  <c r="C26" i="2"/>
  <c r="P25" i="2"/>
  <c r="P24" i="2"/>
  <c r="P23" i="2"/>
  <c r="P22" i="2"/>
  <c r="C22" i="2"/>
  <c r="P21" i="2"/>
  <c r="I20" i="2"/>
  <c r="H20" i="2"/>
  <c r="P20" i="2" s="1"/>
  <c r="C20" i="2"/>
  <c r="O19" i="2"/>
  <c r="O49" i="2" s="1"/>
  <c r="N19" i="2"/>
  <c r="M19" i="2"/>
  <c r="L19" i="2"/>
  <c r="K19" i="2"/>
  <c r="J19" i="2"/>
  <c r="I19" i="2"/>
  <c r="G19" i="2"/>
  <c r="F19" i="2"/>
  <c r="E19" i="2"/>
  <c r="D19" i="2"/>
  <c r="B19" i="2"/>
  <c r="I18" i="2"/>
  <c r="H18" i="2"/>
  <c r="C18" i="2"/>
  <c r="P17" i="2"/>
  <c r="P16" i="2"/>
  <c r="I15" i="2"/>
  <c r="C15" i="2"/>
  <c r="I14" i="2"/>
  <c r="H14" i="2"/>
  <c r="C14" i="2"/>
  <c r="O13" i="2"/>
  <c r="N13" i="2"/>
  <c r="M13" i="2"/>
  <c r="L13" i="2"/>
  <c r="K13" i="2"/>
  <c r="J13" i="2"/>
  <c r="G13" i="2"/>
  <c r="F13" i="2"/>
  <c r="F49" i="2" s="1"/>
  <c r="E13" i="2"/>
  <c r="D13" i="2"/>
  <c r="D12" i="2" s="1"/>
  <c r="B13" i="2"/>
  <c r="C48" i="1"/>
  <c r="B38" i="1"/>
  <c r="B37" i="1"/>
  <c r="B35" i="1"/>
  <c r="B30" i="1"/>
  <c r="B28" i="1"/>
  <c r="B27" i="1"/>
  <c r="B26" i="1"/>
  <c r="B25" i="1"/>
  <c r="B21" i="1"/>
  <c r="B19" i="1"/>
  <c r="B18" i="1"/>
  <c r="B17" i="1"/>
  <c r="B14" i="1"/>
  <c r="B13" i="1"/>
  <c r="B12" i="1"/>
  <c r="B48" i="1" s="1"/>
  <c r="N12" i="2" l="1"/>
  <c r="G49" i="2"/>
  <c r="O12" i="2"/>
  <c r="C13" i="2"/>
  <c r="E12" i="2"/>
  <c r="L12" i="2"/>
  <c r="B12" i="2"/>
  <c r="M12" i="2"/>
  <c r="B49" i="2"/>
  <c r="N49" i="2"/>
  <c r="J49" i="2"/>
  <c r="K49" i="2"/>
  <c r="F12" i="2"/>
  <c r="L49" i="2"/>
  <c r="C29" i="2"/>
  <c r="K12" i="2"/>
  <c r="E49" i="2"/>
  <c r="M49" i="2"/>
  <c r="H19" i="2"/>
  <c r="C19" i="2"/>
  <c r="J12" i="2"/>
  <c r="G12" i="2"/>
  <c r="P19" i="2"/>
  <c r="H13" i="2"/>
  <c r="H12" i="2" s="1"/>
  <c r="P18" i="2"/>
  <c r="I29" i="2"/>
  <c r="I13" i="2"/>
  <c r="I12" i="2" s="1"/>
  <c r="P14" i="2"/>
  <c r="P38" i="2"/>
  <c r="P29" i="2" s="1"/>
  <c r="P39" i="2"/>
  <c r="P15" i="2"/>
  <c r="D49" i="2"/>
  <c r="C12" i="2" l="1"/>
  <c r="C49" i="2"/>
  <c r="P13" i="2"/>
  <c r="P12" i="2" s="1"/>
  <c r="I49" i="2"/>
  <c r="H49" i="2"/>
  <c r="P49" i="2" l="1"/>
</calcChain>
</file>

<file path=xl/sharedStrings.xml><?xml version="1.0" encoding="utf-8"?>
<sst xmlns="http://schemas.openxmlformats.org/spreadsheetml/2006/main" count="119" uniqueCount="74">
  <si>
    <t>Ministerio de Cultura</t>
  </si>
  <si>
    <t>Dirección General de Bellas Artes</t>
  </si>
  <si>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</si>
  <si>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</si>
  <si>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</si>
  <si>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</si>
  <si>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</si>
  <si>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</si>
  <si>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</si>
  <si>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</si>
  <si>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</si>
  <si>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</si>
  <si>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</si>
  <si>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</si>
  <si>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</si>
  <si>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</si>
  <si>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</si>
  <si>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</si>
  <si>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</si>
  <si>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</si>
  <si>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</si>
  <si>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</si>
  <si>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</si>
  <si>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</si>
  <si>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</si>
  <si>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</si>
  <si>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</si>
  <si>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</si>
  <si>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</si>
  <si>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</si>
  <si>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</si>
  <si>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</si>
  <si>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</si>
  <si>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</si>
  <si>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</si>
  <si>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</si>
  <si>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</si>
  <si>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</si>
  <si>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</si>
  <si>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</si>
  <si>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</si>
  <si>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</si>
  <si>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</si>
  <si>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</si>
  <si>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</si>
  <si>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</si>
  <si>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</si>
  <si>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</si>
  <si>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ANA E. DOLORES TH.                                                                                                  FERNANDO A TEJEDA M.</t>
  </si>
  <si>
    <t>Analista  de Presupuesto                                                                                           Encargado Division Presupuesto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</si>
  <si>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</si>
  <si>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</si>
  <si>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</si>
  <si>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</si>
  <si>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</si>
  <si>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</si>
  <si>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</si>
  <si>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</si>
  <si>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</si>
  <si>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</si>
  <si>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</si>
  <si>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</si>
  <si>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</si>
  <si>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</si>
  <si>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</si>
  <si>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</si>
  <si>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Fecha de registro: el 01 de junio del 2022</t>
  </si>
  <si>
    <t>Fecha de imputación: hasta el 30 de junio del 2022</t>
  </si>
  <si>
    <t>REALIZADO POR:                                                                                                    APROBADO POR:</t>
  </si>
  <si>
    <t>ANA E. DOLORES TH.                                                        FERNANDO A TEJEDA M.</t>
  </si>
  <si>
    <t>APROBADO POR:</t>
  </si>
  <si>
    <t>Analista  de Presupuesto                                                                        Encargado Division Presupuesto</t>
  </si>
  <si>
    <t>Fernando A. Tejeda Medina</t>
  </si>
  <si>
    <t>Encargado de la 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</si>
</sst>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22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43" fontId="5" fillId="0" borderId="0" xfId="0" applyNumberFormat="1" applyFont="1" applyAlignment="1"/>
    <xf numFmtId="4" fontId="6" fillId="0" borderId="0" xfId="0" applyNumberFormat="1" applyFont="1" applyAlignment="1"/>
    <xf numFmtId="0" fontId="7" fillId="2" borderId="1" xfId="0" applyFont="1" applyFill="1" applyBorder="1" applyAlignment="1">
      <alignment horizontal="left" vertical="center"/>
    </xf>
    <xf numFmtId="43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3" fontId="7" fillId="2" borderId="2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43" fontId="4" fillId="0" borderId="3" xfId="0" applyNumberFormat="1" applyFont="1" applyBorder="1"/>
    <xf numFmtId="4" fontId="8" fillId="0" borderId="3" xfId="0" applyNumberFormat="1" applyFont="1" applyBorder="1"/>
    <xf numFmtId="0" fontId="4" fillId="0" borderId="0" xfId="0" applyFont="1" applyAlignment="1">
      <alignment horizontal="left" indent="1"/>
    </xf>
    <xf numFmtId="43" fontId="4" fillId="0" borderId="0" xfId="0" applyNumberFormat="1" applyFont="1"/>
    <xf numFmtId="4" fontId="8" fillId="0" borderId="0" xfId="0" applyNumberFormat="1" applyFont="1"/>
    <xf numFmtId="43" fontId="5" fillId="0" borderId="0" xfId="0" applyNumberFormat="1" applyFont="1"/>
    <xf numFmtId="4" fontId="6" fillId="0" borderId="0" xfId="0" applyNumberFormat="1" applyFo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/>
    <xf numFmtId="0" fontId="9" fillId="0" borderId="0" xfId="0" applyFont="1"/>
    <xf numFmtId="43" fontId="0" fillId="0" borderId="0" xfId="1" applyNumberFormat="1" applyFont="1"/>
    <xf numFmtId="43" fontId="0" fillId="0" borderId="0" xfId="1" applyFont="1"/>
    <xf numFmtId="43" fontId="1" fillId="0" borderId="0" xfId="1" applyNumberFormat="1" applyFont="1"/>
    <xf numFmtId="0" fontId="12" fillId="0" borderId="7" xfId="0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0" fontId="13" fillId="0" borderId="7" xfId="0" applyFont="1" applyBorder="1" applyAlignment="1">
      <alignment horizontal="center" wrapText="1" readingOrder="1"/>
    </xf>
    <xf numFmtId="0" fontId="13" fillId="0" borderId="0" xfId="0" applyFont="1" applyBorder="1" applyAlignment="1">
      <alignment horizontal="center" wrapText="1" readingOrder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 wrapText="1" readingOrder="1"/>
    </xf>
    <xf numFmtId="0" fontId="14" fillId="0" borderId="0" xfId="0" applyFont="1" applyBorder="1" applyAlignment="1">
      <alignment horizontal="center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3" borderId="8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43" fontId="2" fillId="3" borderId="10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43" fontId="2" fillId="3" borderId="11" xfId="1" applyFont="1" applyFill="1" applyBorder="1" applyAlignment="1">
      <alignment horizontal="center"/>
    </xf>
    <xf numFmtId="43" fontId="7" fillId="3" borderId="1" xfId="1" applyFont="1" applyFill="1" applyBorder="1" applyAlignment="1">
      <alignment horizontal="center"/>
    </xf>
    <xf numFmtId="43" fontId="7" fillId="3" borderId="11" xfId="1" applyFont="1" applyFill="1" applyBorder="1" applyAlignment="1">
      <alignment horizontal="center"/>
    </xf>
    <xf numFmtId="43" fontId="7" fillId="3" borderId="1" xfId="1" applyNumberFormat="1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3" fillId="0" borderId="0" xfId="0" applyFont="1"/>
    <xf numFmtId="0" fontId="19" fillId="0" borderId="0" xfId="0" applyFont="1"/>
    <xf numFmtId="43" fontId="1" fillId="0" borderId="0" xfId="1" applyFont="1"/>
    <xf numFmtId="43" fontId="9" fillId="0" borderId="0" xfId="1" applyFont="1"/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43" fontId="20" fillId="0" borderId="0" xfId="1" applyFont="1" applyAlignment="1">
      <alignment horizontal="left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left"/>
    </xf>
    <xf numFmtId="0" fontId="23" fillId="0" borderId="12" xfId="0" applyFont="1" applyBorder="1"/>
    <xf numFmtId="0" fontId="23" fillId="0" borderId="0" xfId="0" applyFont="1" applyBorder="1"/>
    <xf numFmtId="0" fontId="0" fillId="0" borderId="12" xfId="0" applyBorder="1"/>
    <xf numFmtId="43" fontId="0" fillId="0" borderId="13" xfId="1" applyNumberFormat="1" applyFont="1" applyBorder="1"/>
    <xf numFmtId="43" fontId="0" fillId="0" borderId="13" xfId="1" applyFont="1" applyBorder="1"/>
    <xf numFmtId="164" fontId="0" fillId="0" borderId="13" xfId="0" applyNumberFormat="1" applyFont="1" applyBorder="1"/>
    <xf numFmtId="4" fontId="6" fillId="0" borderId="13" xfId="0" applyNumberFormat="1" applyFont="1" applyBorder="1"/>
    <xf numFmtId="4" fontId="0" fillId="0" borderId="13" xfId="0" applyNumberFormat="1" applyBorder="1"/>
    <xf numFmtId="0" fontId="0" fillId="4" borderId="0" xfId="0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5" fillId="4" borderId="0" xfId="0" applyNumberFormat="1" applyFont="1" applyFill="1"/>
    <xf numFmtId="43" fontId="16" fillId="4" borderId="0" xfId="0" applyNumberFormat="1" applyFont="1" applyFill="1"/>
    <xf numFmtId="43" fontId="0" fillId="4" borderId="0" xfId="0" applyNumberFormat="1" applyFill="1"/>
    <xf numFmtId="43" fontId="10" fillId="4" borderId="0" xfId="0" applyNumberFormat="1" applyFont="1" applyFill="1"/>
    <xf numFmtId="43" fontId="11" fillId="4" borderId="0" xfId="0" applyNumberFormat="1" applyFont="1" applyFill="1"/>
    <xf numFmtId="43" fontId="3" fillId="4" borderId="0" xfId="0" applyNumberFormat="1" applyFont="1" applyFill="1"/>
    <xf numFmtId="0" fontId="0" fillId="4" borderId="13" xfId="0" applyFill="1" applyBorder="1" applyAlignment="1">
      <alignment horizontal="left" indent="2"/>
    </xf>
    <xf numFmtId="164" fontId="0" fillId="4" borderId="13" xfId="0" applyNumberFormat="1" applyFont="1" applyFill="1" applyBorder="1"/>
    <xf numFmtId="4" fontId="6" fillId="4" borderId="13" xfId="0" applyNumberFormat="1" applyFont="1" applyFill="1" applyBorder="1"/>
    <xf numFmtId="43" fontId="0" fillId="4" borderId="13" xfId="1" applyNumberFormat="1" applyFont="1" applyFill="1" applyBorder="1"/>
    <xf numFmtId="43" fontId="0" fillId="4" borderId="13" xfId="1" applyFont="1" applyFill="1" applyBorder="1"/>
    <xf numFmtId="4" fontId="0" fillId="4" borderId="13" xfId="0" applyNumberFormat="1" applyFill="1" applyBorder="1"/>
    <xf numFmtId="43" fontId="3" fillId="4" borderId="13" xfId="0" applyNumberFormat="1" applyFont="1" applyFill="1" applyBorder="1"/>
    <xf numFmtId="0" fontId="0" fillId="0" borderId="13" xfId="0" applyBorder="1" applyAlignment="1">
      <alignment horizontal="left" indent="2"/>
    </xf>
    <xf numFmtId="164" fontId="18" fillId="0" borderId="13" xfId="0" applyNumberFormat="1" applyFont="1" applyBorder="1"/>
    <xf numFmtId="43" fontId="1" fillId="0" borderId="13" xfId="1" applyNumberFormat="1" applyFont="1" applyBorder="1"/>
    <xf numFmtId="43" fontId="1" fillId="4" borderId="13" xfId="1" applyNumberFormat="1" applyFont="1" applyFill="1" applyBorder="1"/>
    <xf numFmtId="4" fontId="18" fillId="0" borderId="13" xfId="0" applyNumberFormat="1" applyFont="1" applyBorder="1"/>
    <xf numFmtId="0" fontId="7" fillId="2" borderId="0" xfId="0" applyFont="1" applyFill="1" applyBorder="1" applyAlignment="1">
      <alignment vertical="center"/>
    </xf>
    <xf numFmtId="43" fontId="7" fillId="2" borderId="0" xfId="0" applyNumberFormat="1" applyFont="1" applyFill="1" applyBorder="1"/>
    <xf numFmtId="0" fontId="0" fillId="0" borderId="14" xfId="0" applyBorder="1" applyAlignment="1">
      <alignment horizontal="left" indent="2"/>
    </xf>
    <xf numFmtId="164" fontId="0" fillId="0" borderId="14" xfId="0" applyNumberFormat="1" applyFont="1" applyBorder="1"/>
    <xf numFmtId="4" fontId="6" fillId="0" borderId="14" xfId="0" applyNumberFormat="1" applyFont="1" applyBorder="1"/>
    <xf numFmtId="43" fontId="0" fillId="0" borderId="14" xfId="1" applyNumberFormat="1" applyFont="1" applyBorder="1"/>
    <xf numFmtId="43" fontId="0" fillId="0" borderId="14" xfId="1" applyFont="1" applyBorder="1"/>
    <xf numFmtId="4" fontId="0" fillId="0" borderId="14" xfId="0" applyNumberFormat="1" applyBorder="1"/>
    <xf numFmtId="43" fontId="1" fillId="0" borderId="14" xfId="1" applyNumberFormat="1" applyFont="1" applyBorder="1"/>
    <xf numFmtId="0" fontId="0" fillId="0" borderId="15" xfId="0" applyBorder="1" applyAlignment="1">
      <alignment horizontal="left" indent="2"/>
    </xf>
    <xf numFmtId="164" fontId="0" fillId="0" borderId="15" xfId="0" applyNumberFormat="1" applyFont="1" applyBorder="1"/>
    <xf numFmtId="4" fontId="6" fillId="0" borderId="15" xfId="0" applyNumberFormat="1" applyFont="1" applyBorder="1"/>
    <xf numFmtId="43" fontId="0" fillId="0" borderId="15" xfId="1" applyNumberFormat="1" applyFont="1" applyBorder="1"/>
    <xf numFmtId="43" fontId="0" fillId="0" borderId="15" xfId="1" applyFont="1" applyBorder="1"/>
    <xf numFmtId="4" fontId="0" fillId="0" borderId="15" xfId="0" applyNumberFormat="1" applyBorder="1"/>
    <xf numFmtId="43" fontId="1" fillId="0" borderId="15" xfId="1" applyNumberFormat="1" applyFont="1" applyBorder="1"/>
    <xf numFmtId="0" fontId="3" fillId="0" borderId="16" xfId="0" applyFont="1" applyBorder="1" applyAlignment="1">
      <alignment horizontal="left" indent="1"/>
    </xf>
    <xf numFmtId="164" fontId="3" fillId="0" borderId="17" xfId="0" applyNumberFormat="1" applyFont="1" applyBorder="1"/>
    <xf numFmtId="164" fontId="17" fillId="0" borderId="17" xfId="0" applyNumberFormat="1" applyFont="1" applyBorder="1"/>
    <xf numFmtId="164" fontId="3" fillId="0" borderId="18" xfId="0" applyNumberFormat="1" applyFont="1" applyBorder="1"/>
    <xf numFmtId="43" fontId="3" fillId="0" borderId="18" xfId="0" applyNumberFormat="1" applyFont="1" applyBorder="1"/>
    <xf numFmtId="0" fontId="0" fillId="4" borderId="15" xfId="0" applyFill="1" applyBorder="1" applyAlignment="1">
      <alignment horizontal="left" indent="2"/>
    </xf>
    <xf numFmtId="164" fontId="0" fillId="4" borderId="15" xfId="0" applyNumberFormat="1" applyFont="1" applyFill="1" applyBorder="1"/>
    <xf numFmtId="4" fontId="6" fillId="4" borderId="15" xfId="0" applyNumberFormat="1" applyFont="1" applyFill="1" applyBorder="1"/>
    <xf numFmtId="43" fontId="0" fillId="4" borderId="15" xfId="1" applyNumberFormat="1" applyFont="1" applyFill="1" applyBorder="1"/>
    <xf numFmtId="43" fontId="0" fillId="4" borderId="15" xfId="1" applyFont="1" applyFill="1" applyBorder="1"/>
    <xf numFmtId="43" fontId="1" fillId="4" borderId="15" xfId="1" applyNumberFormat="1" applyFont="1" applyFill="1" applyBorder="1"/>
    <xf numFmtId="43" fontId="3" fillId="0" borderId="17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43" fontId="0" fillId="0" borderId="0" xfId="1" applyNumberFormat="1" applyFont="1" applyAlignment="1"/>
    <xf numFmtId="164" fontId="3" fillId="0" borderId="0" xfId="0" applyNumberFormat="1" applyFont="1" applyBorder="1" applyAlignment="1"/>
    <xf numFmtId="43" fontId="3" fillId="0" borderId="17" xfId="0" applyNumberFormat="1" applyFont="1" applyBorder="1" applyAlignment="1"/>
    <xf numFmtId="43" fontId="0" fillId="0" borderId="15" xfId="1" applyNumberFormat="1" applyFont="1" applyBorder="1" applyAlignment="1"/>
    <xf numFmtId="43" fontId="0" fillId="0" borderId="13" xfId="1" applyNumberFormat="1" applyFont="1" applyBorder="1" applyAlignment="1"/>
    <xf numFmtId="43" fontId="0" fillId="0" borderId="14" xfId="1" applyNumberFormat="1" applyFont="1" applyBorder="1" applyAlignment="1"/>
    <xf numFmtId="43" fontId="0" fillId="4" borderId="15" xfId="1" applyNumberFormat="1" applyFont="1" applyFill="1" applyBorder="1" applyAlignment="1"/>
    <xf numFmtId="43" fontId="0" fillId="4" borderId="13" xfId="1" applyNumberFormat="1" applyFont="1" applyFill="1" applyBorder="1" applyAlignment="1"/>
    <xf numFmtId="164" fontId="3" fillId="0" borderId="17" xfId="0" applyNumberFormat="1" applyFont="1" applyBorder="1" applyAlignment="1"/>
    <xf numFmtId="43" fontId="7" fillId="2" borderId="0" xfId="0" applyNumberFormat="1" applyFont="1" applyFill="1" applyBorder="1" applyAlignment="1"/>
    <xf numFmtId="43" fontId="0" fillId="0" borderId="0" xfId="1" applyFont="1" applyAlignment="1"/>
    <xf numFmtId="43" fontId="5" fillId="0" borderId="0" xfId="1" applyFont="1" applyAlignment="1"/>
    <xf numFmtId="0" fontId="0" fillId="0" borderId="0" xfId="0" applyAlignment="1"/>
    <xf numFmtId="0" fontId="5" fillId="0" borderId="13" xfId="0" applyFont="1" applyBorder="1" applyAlignment="1">
      <alignment horizontal="left" indent="2"/>
    </xf>
    <xf numFmtId="43" fontId="5" fillId="0" borderId="13" xfId="0" applyNumberFormat="1" applyFont="1" applyBorder="1"/>
    <xf numFmtId="43" fontId="7" fillId="2" borderId="19" xfId="0" applyNumberFormat="1" applyFont="1" applyFill="1" applyBorder="1"/>
    <xf numFmtId="4" fontId="7" fillId="2" borderId="19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7"/>
  <sheetViews>
    <sheetView topLeftCell="A5" zoomScale="85" zoomScaleNormal="85" workbookViewId="0">
      <selection activeCell="G9" sqref="G9"/>
    </sheetView>
  </sheetViews>
  <sheetFormatPr baseColWidth="10" defaultColWidth="11.42578125" defaultRowHeight="15.75" x14ac:dyDescent="0.25"/>
  <cols>
    <col min="1" max="1" width="92.7109375" style="3" customWidth="1"/>
    <col min="2" max="2" width="19" style="23" customWidth="1"/>
    <col min="3" max="3" width="16.7109375" style="24" customWidth="1"/>
    <col min="4" max="16384" width="11.42578125" style="3"/>
  </cols>
  <sheetData>
    <row r="3" spans="1:13" ht="28.5" customHeight="1" x14ac:dyDescent="0.25">
      <c r="A3" s="1" t="s">
        <v>0</v>
      </c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customHeight="1" x14ac:dyDescent="0.25">
      <c r="A4" s="1" t="s">
        <v>1</v>
      </c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4" t="s">
        <v>2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7" customFormat="1" ht="15.75" customHeight="1" x14ac:dyDescent="0.25">
      <c r="A6" s="6">
        <v>44713</v>
      </c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8" t="s">
        <v>3</v>
      </c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x14ac:dyDescent="0.25">
      <c r="A8" s="9"/>
      <c r="B8" s="10"/>
      <c r="C8" s="11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5" customHeight="1" x14ac:dyDescent="0.25">
      <c r="A9" s="12" t="s">
        <v>4</v>
      </c>
      <c r="B9" s="13" t="s">
        <v>5</v>
      </c>
      <c r="C9" s="14" t="s">
        <v>6</v>
      </c>
    </row>
    <row r="10" spans="1:13" ht="23.25" customHeight="1" x14ac:dyDescent="0.25">
      <c r="A10" s="12"/>
      <c r="B10" s="15"/>
      <c r="C10" s="16"/>
    </row>
    <row r="11" spans="1:13" x14ac:dyDescent="0.25">
      <c r="A11" s="17" t="s">
        <v>7</v>
      </c>
      <c r="B11" s="18"/>
      <c r="C11" s="19"/>
    </row>
    <row r="12" spans="1:13" x14ac:dyDescent="0.25">
      <c r="A12" s="20" t="s">
        <v>8</v>
      </c>
      <c r="B12" s="21">
        <f>SUM(B13:B17)</f>
        <v>546239387</v>
      </c>
      <c r="C12" s="22">
        <v>546239387</v>
      </c>
    </row>
    <row r="13" spans="1:13" x14ac:dyDescent="0.25">
      <c r="A13" s="144" t="s">
        <v>9</v>
      </c>
      <c r="B13" s="145">
        <f>335580073+99979000+1200000+2308039+29164637</f>
        <v>468231749</v>
      </c>
      <c r="C13" s="77">
        <v>443031845.42000002</v>
      </c>
    </row>
    <row r="14" spans="1:13" x14ac:dyDescent="0.25">
      <c r="A14" s="144" t="s">
        <v>10</v>
      </c>
      <c r="B14" s="145">
        <f>720000+5742000+6090834</f>
        <v>12552834</v>
      </c>
      <c r="C14" s="77">
        <v>37726483.939999998</v>
      </c>
    </row>
    <row r="15" spans="1:13" x14ac:dyDescent="0.25">
      <c r="A15" s="144" t="s">
        <v>11</v>
      </c>
      <c r="B15" s="145">
        <v>360000</v>
      </c>
      <c r="C15" s="77">
        <v>360000</v>
      </c>
    </row>
    <row r="16" spans="1:13" x14ac:dyDescent="0.25">
      <c r="A16" s="144" t="s">
        <v>12</v>
      </c>
      <c r="B16" s="145">
        <v>0</v>
      </c>
      <c r="C16" s="77"/>
    </row>
    <row r="17" spans="1:3" x14ac:dyDescent="0.25">
      <c r="A17" s="144" t="s">
        <v>13</v>
      </c>
      <c r="B17" s="145">
        <f>30303984+30378565+4412255</f>
        <v>65094804</v>
      </c>
      <c r="C17" s="77">
        <v>65121057.640000001</v>
      </c>
    </row>
    <row r="18" spans="1:3" x14ac:dyDescent="0.25">
      <c r="A18" s="20" t="s">
        <v>14</v>
      </c>
      <c r="B18" s="21">
        <f>SUM(B19:B27)</f>
        <v>91453000</v>
      </c>
      <c r="C18" s="22">
        <v>89963500</v>
      </c>
    </row>
    <row r="19" spans="1:3" x14ac:dyDescent="0.25">
      <c r="A19" s="144" t="s">
        <v>15</v>
      </c>
      <c r="B19" s="145">
        <f>3000+3600000+34000000+1000000+300000</f>
        <v>38903000</v>
      </c>
      <c r="C19" s="77">
        <v>38903000</v>
      </c>
    </row>
    <row r="20" spans="1:3" x14ac:dyDescent="0.25">
      <c r="A20" s="144" t="s">
        <v>16</v>
      </c>
      <c r="B20" s="145"/>
      <c r="C20" s="77">
        <v>515000</v>
      </c>
    </row>
    <row r="21" spans="1:3" x14ac:dyDescent="0.25">
      <c r="A21" s="144" t="s">
        <v>17</v>
      </c>
      <c r="B21" s="145">
        <f>1000000+1000000+1000000</f>
        <v>3000000</v>
      </c>
      <c r="C21" s="77">
        <v>2000000</v>
      </c>
    </row>
    <row r="22" spans="1:3" x14ac:dyDescent="0.25">
      <c r="A22" s="144" t="s">
        <v>18</v>
      </c>
      <c r="B22" s="145"/>
      <c r="C22" s="77">
        <v>1000000</v>
      </c>
    </row>
    <row r="23" spans="1:3" x14ac:dyDescent="0.25">
      <c r="A23" s="144" t="s">
        <v>19</v>
      </c>
      <c r="B23" s="145">
        <v>900000</v>
      </c>
      <c r="C23" s="77">
        <v>900000</v>
      </c>
    </row>
    <row r="24" spans="1:3" x14ac:dyDescent="0.25">
      <c r="A24" s="144" t="s">
        <v>20</v>
      </c>
      <c r="B24" s="145">
        <v>4000000</v>
      </c>
      <c r="C24" s="77">
        <v>4000000</v>
      </c>
    </row>
    <row r="25" spans="1:3" x14ac:dyDescent="0.25">
      <c r="A25" s="144" t="s">
        <v>21</v>
      </c>
      <c r="B25" s="145">
        <f>30000000+1000000+500000+500000+750000</f>
        <v>32750000</v>
      </c>
      <c r="C25" s="77">
        <v>30245500</v>
      </c>
    </row>
    <row r="26" spans="1:3" x14ac:dyDescent="0.25">
      <c r="A26" s="144" t="s">
        <v>22</v>
      </c>
      <c r="B26" s="145">
        <f>1000000+1500000+5000000+1200000</f>
        <v>8700000</v>
      </c>
      <c r="C26" s="77">
        <v>9200000</v>
      </c>
    </row>
    <row r="27" spans="1:3" x14ac:dyDescent="0.25">
      <c r="A27" s="144" t="s">
        <v>23</v>
      </c>
      <c r="B27" s="145">
        <f>1200000+2000000</f>
        <v>3200000</v>
      </c>
      <c r="C27" s="77">
        <v>3200000</v>
      </c>
    </row>
    <row r="28" spans="1:3" x14ac:dyDescent="0.25">
      <c r="A28" s="20" t="s">
        <v>24</v>
      </c>
      <c r="B28" s="21">
        <f>SUM(B29:B37)</f>
        <v>13835000</v>
      </c>
      <c r="C28" s="22">
        <v>14961900</v>
      </c>
    </row>
    <row r="29" spans="1:3" x14ac:dyDescent="0.25">
      <c r="A29" s="144" t="s">
        <v>25</v>
      </c>
      <c r="B29" s="145">
        <v>1000000</v>
      </c>
      <c r="C29" s="77">
        <v>1150000</v>
      </c>
    </row>
    <row r="30" spans="1:3" x14ac:dyDescent="0.25">
      <c r="A30" s="144" t="s">
        <v>26</v>
      </c>
      <c r="B30" s="145">
        <f>200000+1000000</f>
        <v>1200000</v>
      </c>
      <c r="C30" s="77">
        <v>1200000</v>
      </c>
    </row>
    <row r="31" spans="1:3" x14ac:dyDescent="0.25">
      <c r="A31" s="144" t="s">
        <v>27</v>
      </c>
      <c r="B31" s="145">
        <v>500000</v>
      </c>
      <c r="C31" s="77">
        <v>685000</v>
      </c>
    </row>
    <row r="32" spans="1:3" x14ac:dyDescent="0.25">
      <c r="A32" s="144" t="s">
        <v>28</v>
      </c>
      <c r="B32" s="145"/>
      <c r="C32" s="77"/>
    </row>
    <row r="33" spans="1:3" x14ac:dyDescent="0.25">
      <c r="A33" s="144" t="s">
        <v>29</v>
      </c>
      <c r="B33" s="145"/>
      <c r="C33" s="77">
        <v>14400</v>
      </c>
    </row>
    <row r="34" spans="1:3" x14ac:dyDescent="0.25">
      <c r="A34" s="144" t="s">
        <v>30</v>
      </c>
      <c r="B34" s="145"/>
      <c r="C34" s="77">
        <v>182500</v>
      </c>
    </row>
    <row r="35" spans="1:3" x14ac:dyDescent="0.25">
      <c r="A35" s="144" t="s">
        <v>31</v>
      </c>
      <c r="B35" s="145">
        <f>3600000+1500000</f>
        <v>5100000</v>
      </c>
      <c r="C35" s="77">
        <v>5300000</v>
      </c>
    </row>
    <row r="36" spans="1:3" x14ac:dyDescent="0.25">
      <c r="A36" s="144" t="s">
        <v>32</v>
      </c>
      <c r="B36" s="145"/>
      <c r="C36" s="77"/>
    </row>
    <row r="37" spans="1:3" x14ac:dyDescent="0.25">
      <c r="A37" s="144" t="s">
        <v>33</v>
      </c>
      <c r="B37" s="145">
        <f>3000000+2000000+1000000+35000</f>
        <v>6035000</v>
      </c>
      <c r="C37" s="77">
        <v>6430000</v>
      </c>
    </row>
    <row r="38" spans="1:3" x14ac:dyDescent="0.25">
      <c r="A38" s="20" t="s">
        <v>34</v>
      </c>
      <c r="B38" s="21">
        <f>SUM(B39:B47)</f>
        <v>1500000</v>
      </c>
      <c r="C38" s="22">
        <v>1862600</v>
      </c>
    </row>
    <row r="39" spans="1:3" x14ac:dyDescent="0.25">
      <c r="A39" s="144" t="s">
        <v>35</v>
      </c>
      <c r="B39" s="145">
        <v>1500000</v>
      </c>
      <c r="C39" s="77">
        <v>1783000</v>
      </c>
    </row>
    <row r="40" spans="1:3" x14ac:dyDescent="0.25">
      <c r="A40" s="144" t="s">
        <v>36</v>
      </c>
      <c r="B40" s="145"/>
      <c r="C40" s="77"/>
    </row>
    <row r="41" spans="1:3" x14ac:dyDescent="0.25">
      <c r="A41" s="144" t="s">
        <v>37</v>
      </c>
      <c r="B41" s="145"/>
      <c r="C41" s="77"/>
    </row>
    <row r="42" spans="1:3" x14ac:dyDescent="0.25">
      <c r="A42" s="144" t="s">
        <v>38</v>
      </c>
      <c r="B42" s="145"/>
      <c r="C42" s="77"/>
    </row>
    <row r="43" spans="1:3" x14ac:dyDescent="0.25">
      <c r="A43" s="144" t="s">
        <v>39</v>
      </c>
      <c r="B43" s="145"/>
      <c r="C43" s="77">
        <v>79600</v>
      </c>
    </row>
    <row r="44" spans="1:3" x14ac:dyDescent="0.25">
      <c r="A44" s="144" t="s">
        <v>40</v>
      </c>
      <c r="B44" s="145"/>
      <c r="C44" s="77"/>
    </row>
    <row r="45" spans="1:3" x14ac:dyDescent="0.25">
      <c r="A45" s="144" t="s">
        <v>41</v>
      </c>
      <c r="B45" s="145"/>
      <c r="C45" s="77"/>
    </row>
    <row r="46" spans="1:3" x14ac:dyDescent="0.25">
      <c r="A46" s="144" t="s">
        <v>42</v>
      </c>
      <c r="B46" s="145"/>
      <c r="C46" s="77"/>
    </row>
    <row r="47" spans="1:3" x14ac:dyDescent="0.25">
      <c r="A47" s="144" t="s">
        <v>43</v>
      </c>
      <c r="B47" s="145"/>
      <c r="C47" s="77"/>
    </row>
    <row r="48" spans="1:3" ht="16.5" thickBot="1" x14ac:dyDescent="0.3">
      <c r="A48" s="101" t="s">
        <v>44</v>
      </c>
      <c r="B48" s="146">
        <f>+B12+B18+B28+B38</f>
        <v>653027387</v>
      </c>
      <c r="C48" s="147">
        <f>+C12+C18+C28+C38</f>
        <v>653027387</v>
      </c>
    </row>
    <row r="49" spans="1:3" ht="16.5" thickTop="1" x14ac:dyDescent="0.25"/>
    <row r="50" spans="1:3" x14ac:dyDescent="0.25">
      <c r="A50" s="25" t="s">
        <v>45</v>
      </c>
      <c r="B50" s="26"/>
      <c r="C50" s="27"/>
    </row>
    <row r="51" spans="1:3" ht="30.75" customHeight="1" x14ac:dyDescent="0.25">
      <c r="A51" s="28" t="s">
        <v>46</v>
      </c>
      <c r="B51" s="29"/>
      <c r="C51" s="30"/>
    </row>
    <row r="54" spans="1:3" ht="26.25" customHeight="1" x14ac:dyDescent="0.25"/>
    <row r="55" spans="1:3" ht="33.75" customHeight="1" x14ac:dyDescent="0.25">
      <c r="A55" s="3" t="s">
        <v>47</v>
      </c>
    </row>
    <row r="56" spans="1:3" x14ac:dyDescent="0.25">
      <c r="A56" s="31" t="s">
        <v>48</v>
      </c>
    </row>
    <row r="57" spans="1:3" x14ac:dyDescent="0.25">
      <c r="A57" s="32" t="s">
        <v>49</v>
      </c>
    </row>
  </sheetData>
  <mergeCells count="10">
    <mergeCell ref="A50:C50"/>
    <mergeCell ref="A51:C51"/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topLeftCell="A3" zoomScale="40" zoomScaleNormal="40" workbookViewId="0">
      <selection activeCell="Z58" sqref="Z58"/>
    </sheetView>
  </sheetViews>
  <sheetFormatPr baseColWidth="10" defaultColWidth="11.42578125" defaultRowHeight="15" x14ac:dyDescent="0.25"/>
  <cols>
    <col min="1" max="1" width="80" customWidth="1"/>
    <col min="2" max="2" width="22.5703125" style="33" customWidth="1"/>
    <col min="3" max="3" width="21" style="34" customWidth="1"/>
    <col min="4" max="4" width="18.85546875" style="35" customWidth="1"/>
    <col min="5" max="5" width="21.42578125" style="131" customWidth="1"/>
    <col min="6" max="6" width="21" style="35" customWidth="1"/>
    <col min="7" max="7" width="20" style="36" customWidth="1"/>
    <col min="8" max="8" width="18.85546875" style="36" customWidth="1"/>
    <col min="9" max="9" width="19.28515625" style="36" customWidth="1"/>
    <col min="10" max="10" width="12.5703125" style="36" hidden="1" customWidth="1"/>
    <col min="11" max="11" width="8.28515625" style="36" hidden="1" customWidth="1"/>
    <col min="12" max="12" width="10.42578125" style="36" hidden="1" customWidth="1"/>
    <col min="13" max="13" width="12" style="36" hidden="1" customWidth="1"/>
    <col min="14" max="14" width="24.7109375" style="36" hidden="1" customWidth="1"/>
    <col min="15" max="15" width="16.5703125" style="36" hidden="1" customWidth="1"/>
    <col min="16" max="16" width="21" style="37" customWidth="1"/>
    <col min="17" max="17" width="20.140625" style="81" customWidth="1"/>
    <col min="18" max="18" width="22.42578125" style="82" customWidth="1"/>
    <col min="19" max="19" width="18.7109375" style="79" customWidth="1"/>
  </cols>
  <sheetData>
    <row r="1" spans="1:19" ht="2.25" hidden="1" customHeight="1" x14ac:dyDescent="0.25"/>
    <row r="2" spans="1:19" hidden="1" x14ac:dyDescent="0.25"/>
    <row r="3" spans="1:19" ht="28.5" customHeight="1" x14ac:dyDescent="0.45">
      <c r="A3" s="38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9" ht="21" customHeight="1" x14ac:dyDescent="0.35">
      <c r="A4" s="40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9" ht="15.75" x14ac:dyDescent="0.25">
      <c r="A5" s="42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9" ht="15.75" customHeight="1" x14ac:dyDescent="0.25">
      <c r="A6" s="44">
        <v>2022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.75" customHeight="1" x14ac:dyDescent="0.25">
      <c r="A7" s="45" t="s">
        <v>50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5.75" customHeight="1" x14ac:dyDescent="0.25">
      <c r="A8" s="45" t="s">
        <v>3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9" ht="4.5" customHeight="1" x14ac:dyDescent="0.25"/>
    <row r="10" spans="1:19" ht="25.5" customHeight="1" x14ac:dyDescent="0.25">
      <c r="A10" s="46" t="s">
        <v>4</v>
      </c>
      <c r="B10" s="47" t="s">
        <v>5</v>
      </c>
      <c r="C10" s="47" t="s">
        <v>6</v>
      </c>
      <c r="D10" s="48" t="s">
        <v>51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</row>
    <row r="11" spans="1:19" ht="15.75" x14ac:dyDescent="0.25">
      <c r="A11" s="46"/>
      <c r="B11" s="51"/>
      <c r="C11" s="51"/>
      <c r="D11" s="52" t="s">
        <v>52</v>
      </c>
      <c r="E11" s="52" t="s">
        <v>53</v>
      </c>
      <c r="F11" s="52" t="s">
        <v>54</v>
      </c>
      <c r="G11" s="53" t="s">
        <v>55</v>
      </c>
      <c r="H11" s="54" t="s">
        <v>56</v>
      </c>
      <c r="I11" s="55" t="s">
        <v>57</v>
      </c>
      <c r="J11" s="56" t="s">
        <v>58</v>
      </c>
      <c r="K11" s="55" t="s">
        <v>59</v>
      </c>
      <c r="L11" s="55" t="s">
        <v>60</v>
      </c>
      <c r="M11" s="55" t="s">
        <v>61</v>
      </c>
      <c r="N11" s="55" t="s">
        <v>62</v>
      </c>
      <c r="O11" s="56" t="s">
        <v>63</v>
      </c>
      <c r="P11" s="57" t="s">
        <v>64</v>
      </c>
    </row>
    <row r="12" spans="1:19" ht="15.75" thickBot="1" x14ac:dyDescent="0.3">
      <c r="A12" s="129" t="s">
        <v>7</v>
      </c>
      <c r="B12" s="130">
        <f>B13+B19+B29+B39</f>
        <v>653027387</v>
      </c>
      <c r="C12" s="130">
        <f t="shared" ref="C12:P12" si="0">C13+C19+C29+C39</f>
        <v>653027387</v>
      </c>
      <c r="D12" s="130">
        <f t="shared" si="0"/>
        <v>34794719.310000002</v>
      </c>
      <c r="E12" s="132">
        <f t="shared" si="0"/>
        <v>35874710.159999996</v>
      </c>
      <c r="F12" s="130">
        <f t="shared" si="0"/>
        <v>38863685.929999992</v>
      </c>
      <c r="G12" s="130">
        <f t="shared" si="0"/>
        <v>40904290.339999996</v>
      </c>
      <c r="H12" s="130">
        <f t="shared" si="0"/>
        <v>39574826.699999996</v>
      </c>
      <c r="I12" s="130">
        <f t="shared" si="0"/>
        <v>42560642.419999994</v>
      </c>
      <c r="J12" s="130">
        <f t="shared" si="0"/>
        <v>0</v>
      </c>
      <c r="K12" s="130">
        <f t="shared" si="0"/>
        <v>0</v>
      </c>
      <c r="L12" s="130">
        <f t="shared" si="0"/>
        <v>0</v>
      </c>
      <c r="M12" s="130">
        <f t="shared" si="0"/>
        <v>0</v>
      </c>
      <c r="N12" s="130">
        <f t="shared" si="0"/>
        <v>0</v>
      </c>
      <c r="O12" s="130">
        <f t="shared" si="0"/>
        <v>0</v>
      </c>
      <c r="P12" s="130">
        <f t="shared" si="0"/>
        <v>232572874.85999998</v>
      </c>
      <c r="Q12" s="58"/>
      <c r="R12" s="59"/>
    </row>
    <row r="13" spans="1:19" ht="15.75" thickBot="1" x14ac:dyDescent="0.3">
      <c r="A13" s="117" t="s">
        <v>8</v>
      </c>
      <c r="B13" s="118">
        <f t="shared" ref="B13:F13" si="1">SUM(B14:B18)</f>
        <v>546239387</v>
      </c>
      <c r="C13" s="119">
        <f t="shared" si="1"/>
        <v>546239387</v>
      </c>
      <c r="D13" s="128">
        <f t="shared" si="1"/>
        <v>33315143.359999999</v>
      </c>
      <c r="E13" s="133">
        <f t="shared" si="1"/>
        <v>33271333.159999996</v>
      </c>
      <c r="F13" s="128">
        <f t="shared" si="1"/>
        <v>35550234.599999994</v>
      </c>
      <c r="G13" s="128">
        <f>SUM(G14:G18)</f>
        <v>35035786.769999996</v>
      </c>
      <c r="H13" s="118">
        <f t="shared" ref="H13:N13" si="2">SUM(H14:H18)</f>
        <v>35008102.299999997</v>
      </c>
      <c r="I13" s="118">
        <f t="shared" si="2"/>
        <v>37910525.449999996</v>
      </c>
      <c r="J13" s="118">
        <f t="shared" si="2"/>
        <v>0</v>
      </c>
      <c r="K13" s="118">
        <f t="shared" si="2"/>
        <v>0</v>
      </c>
      <c r="L13" s="118">
        <f t="shared" si="2"/>
        <v>0</v>
      </c>
      <c r="M13" s="118">
        <f t="shared" si="2"/>
        <v>0</v>
      </c>
      <c r="N13" s="118">
        <f t="shared" si="2"/>
        <v>0</v>
      </c>
      <c r="O13" s="118">
        <f>SUM(O14:O18)</f>
        <v>0</v>
      </c>
      <c r="P13" s="121">
        <f>SUM(P14:P18)</f>
        <v>210091125.63999999</v>
      </c>
      <c r="Q13" s="83"/>
      <c r="R13" s="84"/>
      <c r="S13" s="85"/>
    </row>
    <row r="14" spans="1:19" ht="15.75" x14ac:dyDescent="0.25">
      <c r="A14" s="110" t="s">
        <v>9</v>
      </c>
      <c r="B14" s="111">
        <v>468231749</v>
      </c>
      <c r="C14" s="112">
        <f>334888924.83+300000+68776680.41+960000+1200000+3241623.96+32528261.24+550000+586354.98</f>
        <v>443031845.42000002</v>
      </c>
      <c r="D14" s="113">
        <v>28807738.509999998</v>
      </c>
      <c r="E14" s="134">
        <v>28769738.509999998</v>
      </c>
      <c r="F14" s="113">
        <v>30584630.639999997</v>
      </c>
      <c r="G14" s="114">
        <v>30213988.509999998</v>
      </c>
      <c r="H14" s="115">
        <f>26467542.58+3587250+30000+105135.33</f>
        <v>30189927.909999996</v>
      </c>
      <c r="I14" s="114">
        <f>27104042.58+50000+4660750+254000+55000+105135.33+491462.85</f>
        <v>32720390.759999998</v>
      </c>
      <c r="P14" s="116">
        <f>SUM(D14:O14)</f>
        <v>181286414.83999997</v>
      </c>
      <c r="Q14" s="86"/>
      <c r="R14" s="87"/>
      <c r="S14" s="85"/>
    </row>
    <row r="15" spans="1:19" ht="15.75" x14ac:dyDescent="0.25">
      <c r="A15" s="96" t="s">
        <v>10</v>
      </c>
      <c r="B15" s="76">
        <v>12552834</v>
      </c>
      <c r="C15" s="77">
        <f>720000+3990000+6090834+26925649.94</f>
        <v>37726483.939999998</v>
      </c>
      <c r="D15" s="74">
        <v>122500</v>
      </c>
      <c r="E15" s="135">
        <v>122500</v>
      </c>
      <c r="F15" s="74">
        <v>319500</v>
      </c>
      <c r="G15" s="75">
        <v>221000</v>
      </c>
      <c r="H15" s="78">
        <v>221000</v>
      </c>
      <c r="I15" s="75">
        <f>286000</f>
        <v>286000</v>
      </c>
      <c r="P15" s="98">
        <f t="shared" ref="P15:P18" si="3">SUM(D15:O15)</f>
        <v>1292500</v>
      </c>
      <c r="Q15" s="86"/>
      <c r="R15" s="87"/>
      <c r="S15" s="85"/>
    </row>
    <row r="16" spans="1:19" ht="15.75" x14ac:dyDescent="0.25">
      <c r="A16" s="96" t="s">
        <v>11</v>
      </c>
      <c r="B16" s="76">
        <v>360000</v>
      </c>
      <c r="C16" s="77">
        <v>360000</v>
      </c>
      <c r="D16" s="74">
        <v>0</v>
      </c>
      <c r="E16" s="135">
        <v>0</v>
      </c>
      <c r="F16" s="74">
        <v>0</v>
      </c>
      <c r="G16" s="75"/>
      <c r="H16" s="75"/>
      <c r="I16" s="75"/>
      <c r="P16" s="98">
        <f t="shared" si="3"/>
        <v>0</v>
      </c>
      <c r="Q16" s="86"/>
      <c r="R16" s="87"/>
      <c r="S16" s="85"/>
    </row>
    <row r="17" spans="1:19" x14ac:dyDescent="0.25">
      <c r="A17" s="96" t="s">
        <v>12</v>
      </c>
      <c r="B17" s="76">
        <v>0</v>
      </c>
      <c r="C17" s="97"/>
      <c r="D17" s="74">
        <v>0</v>
      </c>
      <c r="E17" s="135">
        <v>0</v>
      </c>
      <c r="F17" s="74">
        <v>0</v>
      </c>
      <c r="G17" s="75"/>
      <c r="H17" s="75"/>
      <c r="I17" s="75"/>
      <c r="P17" s="98">
        <f t="shared" si="3"/>
        <v>0</v>
      </c>
      <c r="Q17" s="86"/>
      <c r="R17" s="87"/>
      <c r="S17" s="85"/>
    </row>
    <row r="18" spans="1:19" ht="16.5" thickBot="1" x14ac:dyDescent="0.3">
      <c r="A18" s="103" t="s">
        <v>13</v>
      </c>
      <c r="B18" s="104">
        <v>65094804</v>
      </c>
      <c r="C18" s="105">
        <f>30303984+30378565+4438508.64</f>
        <v>65121057.640000001</v>
      </c>
      <c r="D18" s="106">
        <v>4384904.8499999996</v>
      </c>
      <c r="E18" s="136">
        <v>4379094.6500000004</v>
      </c>
      <c r="F18" s="106">
        <v>4646103.959999999</v>
      </c>
      <c r="G18" s="107">
        <v>4600798.2600000007</v>
      </c>
      <c r="H18" s="108">
        <f>2139234.39+2143484.89+314455.11</f>
        <v>4597174.3900000006</v>
      </c>
      <c r="I18" s="107">
        <f>2280963.49+2288253.89+334917.31</f>
        <v>4904134.6900000004</v>
      </c>
      <c r="P18" s="109">
        <f t="shared" si="3"/>
        <v>27512210.800000001</v>
      </c>
      <c r="Q18" s="86"/>
      <c r="R18" s="87"/>
      <c r="S18" s="85"/>
    </row>
    <row r="19" spans="1:19" s="60" customFormat="1" ht="15.75" thickBot="1" x14ac:dyDescent="0.3">
      <c r="A19" s="117" t="s">
        <v>14</v>
      </c>
      <c r="B19" s="118">
        <f>SUM(B20:B28)</f>
        <v>91453000</v>
      </c>
      <c r="C19" s="119">
        <f>SUM(C20:C28)</f>
        <v>89963500</v>
      </c>
      <c r="D19" s="128">
        <f t="shared" ref="D19:O19" si="4">SUM(D20:D28)</f>
        <v>1254075.95</v>
      </c>
      <c r="E19" s="133">
        <f t="shared" si="4"/>
        <v>2377877</v>
      </c>
      <c r="F19" s="128">
        <f>SUM(F20:F28)</f>
        <v>2542951.33</v>
      </c>
      <c r="G19" s="128">
        <f>SUM(G20:G28)</f>
        <v>5648003.5700000003</v>
      </c>
      <c r="H19" s="118">
        <f t="shared" si="4"/>
        <v>4233416.3999999994</v>
      </c>
      <c r="I19" s="118">
        <f>SUM(I20:I28)</f>
        <v>3835052.92</v>
      </c>
      <c r="J19" s="118">
        <f t="shared" si="4"/>
        <v>0</v>
      </c>
      <c r="K19" s="118">
        <f t="shared" si="4"/>
        <v>0</v>
      </c>
      <c r="L19" s="118">
        <f t="shared" si="4"/>
        <v>0</v>
      </c>
      <c r="M19" s="118">
        <f t="shared" si="4"/>
        <v>0</v>
      </c>
      <c r="N19" s="118">
        <f t="shared" si="4"/>
        <v>0</v>
      </c>
      <c r="O19" s="118">
        <f t="shared" si="4"/>
        <v>0</v>
      </c>
      <c r="P19" s="121">
        <f>SUM(P20:P28)</f>
        <v>19891377.170000006</v>
      </c>
      <c r="Q19" s="83"/>
      <c r="R19" s="84"/>
      <c r="S19" s="88"/>
    </row>
    <row r="20" spans="1:19" s="79" customFormat="1" ht="15.75" x14ac:dyDescent="0.25">
      <c r="A20" s="122" t="s">
        <v>15</v>
      </c>
      <c r="B20" s="123">
        <v>38903000</v>
      </c>
      <c r="C20" s="124">
        <f>3000+3600000+34000000+1000000+300000</f>
        <v>38903000</v>
      </c>
      <c r="D20" s="125">
        <v>1009222.54</v>
      </c>
      <c r="E20" s="137">
        <v>2050845.1199999999</v>
      </c>
      <c r="F20" s="125">
        <v>2344299.14</v>
      </c>
      <c r="G20" s="126">
        <v>4229555.16</v>
      </c>
      <c r="H20" s="126">
        <f>310892.34+2767373.73+53902.4+17494</f>
        <v>3149662.4699999997</v>
      </c>
      <c r="I20" s="126">
        <f>298973.64+2709148.43+53902.4+16452</f>
        <v>3078476.47</v>
      </c>
      <c r="J20" s="80"/>
      <c r="K20" s="80"/>
      <c r="L20" s="80"/>
      <c r="M20" s="80"/>
      <c r="N20" s="80"/>
      <c r="O20" s="80"/>
      <c r="P20" s="127">
        <f>SUM(D20:O20)</f>
        <v>15862060.9</v>
      </c>
      <c r="Q20" s="86"/>
      <c r="R20" s="87"/>
      <c r="S20" s="85"/>
    </row>
    <row r="21" spans="1:19" s="79" customFormat="1" ht="15.75" x14ac:dyDescent="0.25">
      <c r="A21" s="89" t="s">
        <v>16</v>
      </c>
      <c r="B21" s="90"/>
      <c r="C21" s="91">
        <v>515000</v>
      </c>
      <c r="D21" s="92"/>
      <c r="E21" s="138"/>
      <c r="F21" s="92"/>
      <c r="G21" s="93"/>
      <c r="H21" s="94">
        <v>10360.4</v>
      </c>
      <c r="I21" s="93">
        <v>37517.82</v>
      </c>
      <c r="J21" s="80"/>
      <c r="K21" s="80"/>
      <c r="L21" s="80"/>
      <c r="M21" s="80"/>
      <c r="N21" s="80"/>
      <c r="O21" s="80"/>
      <c r="P21" s="99">
        <f t="shared" ref="P21:P48" si="5">SUM(D21:O21)</f>
        <v>47878.22</v>
      </c>
      <c r="Q21" s="86"/>
      <c r="R21" s="87"/>
      <c r="S21" s="85"/>
    </row>
    <row r="22" spans="1:19" s="79" customFormat="1" ht="15.75" x14ac:dyDescent="0.25">
      <c r="A22" s="89" t="s">
        <v>17</v>
      </c>
      <c r="B22" s="90">
        <v>3000000</v>
      </c>
      <c r="C22" s="91">
        <f>1000000+1000000</f>
        <v>2000000</v>
      </c>
      <c r="D22" s="92"/>
      <c r="E22" s="138"/>
      <c r="F22" s="92"/>
      <c r="G22" s="95"/>
      <c r="H22" s="94">
        <v>88600</v>
      </c>
      <c r="I22" s="93"/>
      <c r="J22" s="80"/>
      <c r="K22" s="80"/>
      <c r="L22" s="80"/>
      <c r="M22" s="80"/>
      <c r="N22" s="80"/>
      <c r="O22" s="80"/>
      <c r="P22" s="99">
        <f t="shared" si="5"/>
        <v>88600</v>
      </c>
      <c r="Q22" s="86"/>
      <c r="R22" s="87"/>
      <c r="S22" s="85"/>
    </row>
    <row r="23" spans="1:19" s="79" customFormat="1" ht="15.75" x14ac:dyDescent="0.25">
      <c r="A23" s="89" t="s">
        <v>18</v>
      </c>
      <c r="B23" s="90"/>
      <c r="C23" s="91">
        <v>1000000</v>
      </c>
      <c r="D23" s="92"/>
      <c r="E23" s="138"/>
      <c r="F23" s="92"/>
      <c r="G23" s="93"/>
      <c r="H23" s="94"/>
      <c r="I23" s="93"/>
      <c r="J23" s="80"/>
      <c r="K23" s="80"/>
      <c r="L23" s="80"/>
      <c r="M23" s="80"/>
      <c r="N23" s="80"/>
      <c r="O23" s="80"/>
      <c r="P23" s="99">
        <f t="shared" si="5"/>
        <v>0</v>
      </c>
      <c r="Q23" s="86"/>
      <c r="R23" s="87"/>
      <c r="S23" s="85"/>
    </row>
    <row r="24" spans="1:19" s="79" customFormat="1" ht="15.75" x14ac:dyDescent="0.25">
      <c r="A24" s="89" t="s">
        <v>19</v>
      </c>
      <c r="B24" s="90">
        <v>900000</v>
      </c>
      <c r="C24" s="91">
        <v>900000</v>
      </c>
      <c r="D24" s="92">
        <v>0</v>
      </c>
      <c r="E24" s="138">
        <v>129800</v>
      </c>
      <c r="F24" s="93">
        <v>0</v>
      </c>
      <c r="G24" s="93">
        <v>129800</v>
      </c>
      <c r="H24" s="93"/>
      <c r="I24" s="94">
        <v>129800</v>
      </c>
      <c r="J24" s="80"/>
      <c r="K24" s="80"/>
      <c r="L24" s="80"/>
      <c r="M24" s="80"/>
      <c r="N24" s="80"/>
      <c r="O24" s="80"/>
      <c r="P24" s="99">
        <f t="shared" si="5"/>
        <v>389400</v>
      </c>
      <c r="Q24" s="86"/>
      <c r="R24" s="87"/>
      <c r="S24" s="85"/>
    </row>
    <row r="25" spans="1:19" ht="15.75" x14ac:dyDescent="0.25">
      <c r="A25" s="96" t="s">
        <v>20</v>
      </c>
      <c r="B25" s="76">
        <v>4000000</v>
      </c>
      <c r="C25" s="77">
        <v>4000000</v>
      </c>
      <c r="D25" s="74">
        <v>244853.41</v>
      </c>
      <c r="E25" s="135">
        <v>197231.88</v>
      </c>
      <c r="F25" s="75">
        <v>198652.19</v>
      </c>
      <c r="G25" s="75">
        <v>188648.41</v>
      </c>
      <c r="H25" s="78">
        <v>328725.33</v>
      </c>
      <c r="I25" s="78">
        <v>339258.63</v>
      </c>
      <c r="P25" s="98">
        <f t="shared" si="5"/>
        <v>1497369.85</v>
      </c>
      <c r="Q25" s="86"/>
      <c r="R25" s="87"/>
      <c r="S25" s="85"/>
    </row>
    <row r="26" spans="1:19" ht="15.75" x14ac:dyDescent="0.25">
      <c r="A26" s="96" t="s">
        <v>21</v>
      </c>
      <c r="B26" s="76">
        <v>32750000</v>
      </c>
      <c r="C26" s="77">
        <f>27645500+1000000+500000+350000+750000</f>
        <v>30245500</v>
      </c>
      <c r="D26" s="74"/>
      <c r="E26" s="135"/>
      <c r="F26" s="74"/>
      <c r="G26" s="75"/>
      <c r="H26" s="75"/>
      <c r="I26" s="75"/>
      <c r="P26" s="98">
        <f t="shared" si="5"/>
        <v>0</v>
      </c>
      <c r="Q26" s="86"/>
      <c r="R26" s="87"/>
      <c r="S26" s="85"/>
    </row>
    <row r="27" spans="1:19" ht="15.75" x14ac:dyDescent="0.25">
      <c r="A27" s="96" t="s">
        <v>22</v>
      </c>
      <c r="B27" s="76">
        <v>8700000</v>
      </c>
      <c r="C27" s="77">
        <f>1000000+1500000+5350000+150000+1200000</f>
        <v>9200000</v>
      </c>
      <c r="D27" s="74"/>
      <c r="E27" s="135"/>
      <c r="F27" s="74"/>
      <c r="G27" s="75">
        <v>1100000</v>
      </c>
      <c r="H27" s="78">
        <v>448423.6</v>
      </c>
      <c r="I27" s="78">
        <v>250000</v>
      </c>
      <c r="P27" s="98">
        <f t="shared" si="5"/>
        <v>1798423.6</v>
      </c>
      <c r="Q27" s="86"/>
      <c r="R27" s="87"/>
      <c r="S27" s="85"/>
    </row>
    <row r="28" spans="1:19" ht="16.5" thickBot="1" x14ac:dyDescent="0.3">
      <c r="A28" s="103" t="s">
        <v>23</v>
      </c>
      <c r="B28" s="104">
        <v>3200000</v>
      </c>
      <c r="C28" s="105">
        <f>1200000+2000000</f>
        <v>3200000</v>
      </c>
      <c r="D28" s="106"/>
      <c r="E28" s="136"/>
      <c r="F28" s="106"/>
      <c r="G28" s="107"/>
      <c r="H28" s="108">
        <v>207644.6</v>
      </c>
      <c r="I28" s="107"/>
      <c r="P28" s="109">
        <f t="shared" si="5"/>
        <v>207644.6</v>
      </c>
      <c r="Q28" s="86"/>
      <c r="R28" s="87"/>
      <c r="S28" s="85"/>
    </row>
    <row r="29" spans="1:19" s="60" customFormat="1" ht="15.75" thickBot="1" x14ac:dyDescent="0.3">
      <c r="A29" s="117" t="s">
        <v>24</v>
      </c>
      <c r="B29" s="118">
        <f>SUM(B30:B38)</f>
        <v>13835000</v>
      </c>
      <c r="C29" s="119">
        <f>SUM(C30:C38)</f>
        <v>14961900</v>
      </c>
      <c r="D29" s="118">
        <f t="shared" ref="D29:O29" si="6">SUM(D30:D38)</f>
        <v>225500</v>
      </c>
      <c r="E29" s="139">
        <f t="shared" si="6"/>
        <v>225500</v>
      </c>
      <c r="F29" s="118">
        <f t="shared" si="6"/>
        <v>770500</v>
      </c>
      <c r="G29" s="118">
        <f>SUM(G30:G38)</f>
        <v>220500</v>
      </c>
      <c r="H29" s="118">
        <f t="shared" si="6"/>
        <v>333308</v>
      </c>
      <c r="I29" s="118">
        <f>SUM(I30:I38)</f>
        <v>655120.56999999995</v>
      </c>
      <c r="J29" s="118">
        <f t="shared" si="6"/>
        <v>0</v>
      </c>
      <c r="K29" s="118">
        <f t="shared" si="6"/>
        <v>0</v>
      </c>
      <c r="L29" s="118">
        <f t="shared" si="6"/>
        <v>0</v>
      </c>
      <c r="M29" s="118">
        <f t="shared" si="6"/>
        <v>0</v>
      </c>
      <c r="N29" s="118">
        <f t="shared" si="6"/>
        <v>0</v>
      </c>
      <c r="O29" s="118">
        <f t="shared" si="6"/>
        <v>0</v>
      </c>
      <c r="P29" s="121">
        <f>SUM(P30:P38)</f>
        <v>2430428.5699999998</v>
      </c>
      <c r="Q29" s="83"/>
      <c r="R29" s="84"/>
      <c r="S29" s="88"/>
    </row>
    <row r="30" spans="1:19" ht="15.75" x14ac:dyDescent="0.25">
      <c r="A30" s="110" t="s">
        <v>25</v>
      </c>
      <c r="B30" s="111">
        <v>1000000</v>
      </c>
      <c r="C30" s="112">
        <f>1000000+150000</f>
        <v>1150000</v>
      </c>
      <c r="D30" s="113"/>
      <c r="E30" s="134"/>
      <c r="F30" s="113"/>
      <c r="G30" s="114"/>
      <c r="H30" s="114"/>
      <c r="I30" s="115">
        <v>124999.99</v>
      </c>
      <c r="J30" s="114"/>
      <c r="K30" s="114"/>
      <c r="L30" s="114"/>
      <c r="M30" s="114"/>
      <c r="N30" s="114"/>
      <c r="O30" s="114"/>
      <c r="P30" s="116">
        <f t="shared" si="5"/>
        <v>124999.99</v>
      </c>
      <c r="Q30" s="86"/>
      <c r="R30" s="87"/>
      <c r="S30" s="85"/>
    </row>
    <row r="31" spans="1:19" ht="15.75" x14ac:dyDescent="0.25">
      <c r="A31" s="96" t="s">
        <v>26</v>
      </c>
      <c r="B31" s="76">
        <v>1200000</v>
      </c>
      <c r="C31" s="77">
        <f>200000+1000000</f>
        <v>1200000</v>
      </c>
      <c r="D31" s="74"/>
      <c r="E31" s="135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98">
        <f t="shared" si="5"/>
        <v>0</v>
      </c>
      <c r="Q31" s="86"/>
      <c r="R31" s="87"/>
      <c r="S31" s="85"/>
    </row>
    <row r="32" spans="1:19" x14ac:dyDescent="0.25">
      <c r="A32" s="96" t="s">
        <v>27</v>
      </c>
      <c r="B32" s="76">
        <v>500000</v>
      </c>
      <c r="C32" s="100">
        <v>685000</v>
      </c>
      <c r="D32" s="74"/>
      <c r="E32" s="135"/>
      <c r="F32" s="74"/>
      <c r="G32" s="75"/>
      <c r="H32" s="75"/>
      <c r="I32" s="78">
        <v>4092.24</v>
      </c>
      <c r="J32" s="75"/>
      <c r="K32" s="75"/>
      <c r="L32" s="75"/>
      <c r="M32" s="75"/>
      <c r="N32" s="75"/>
      <c r="O32" s="75"/>
      <c r="P32" s="98">
        <f t="shared" si="5"/>
        <v>4092.24</v>
      </c>
      <c r="Q32" s="86"/>
      <c r="R32" s="87"/>
      <c r="S32" s="85"/>
    </row>
    <row r="33" spans="1:19" ht="15.75" x14ac:dyDescent="0.25">
      <c r="A33" s="96" t="s">
        <v>28</v>
      </c>
      <c r="B33" s="76"/>
      <c r="C33" s="77"/>
      <c r="D33" s="74"/>
      <c r="E33" s="135"/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98">
        <f t="shared" si="5"/>
        <v>0</v>
      </c>
      <c r="Q33" s="86"/>
      <c r="R33" s="87"/>
      <c r="S33" s="85"/>
    </row>
    <row r="34" spans="1:19" x14ac:dyDescent="0.25">
      <c r="A34" s="96" t="s">
        <v>29</v>
      </c>
      <c r="B34" s="76"/>
      <c r="C34" s="100">
        <v>14400</v>
      </c>
      <c r="D34" s="74"/>
      <c r="E34" s="135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98">
        <f t="shared" si="5"/>
        <v>0</v>
      </c>
      <c r="Q34" s="86"/>
      <c r="R34" s="87"/>
      <c r="S34" s="85"/>
    </row>
    <row r="35" spans="1:19" ht="15.75" x14ac:dyDescent="0.25">
      <c r="A35" s="96" t="s">
        <v>30</v>
      </c>
      <c r="B35" s="76"/>
      <c r="C35" s="77">
        <f>25000+157500</f>
        <v>182500</v>
      </c>
      <c r="D35" s="74"/>
      <c r="E35" s="135"/>
      <c r="F35" s="74"/>
      <c r="G35" s="75"/>
      <c r="H35" s="75"/>
      <c r="I35" s="75">
        <f>17599.7+57454.2</f>
        <v>75053.899999999994</v>
      </c>
      <c r="J35" s="75"/>
      <c r="K35" s="75"/>
      <c r="L35" s="75"/>
      <c r="M35" s="75"/>
      <c r="N35" s="75"/>
      <c r="O35" s="75"/>
      <c r="P35" s="98">
        <f t="shared" si="5"/>
        <v>75053.899999999994</v>
      </c>
      <c r="Q35" s="86"/>
      <c r="R35" s="87"/>
      <c r="S35" s="85"/>
    </row>
    <row r="36" spans="1:19" ht="15.75" x14ac:dyDescent="0.25">
      <c r="A36" s="96" t="s">
        <v>31</v>
      </c>
      <c r="B36" s="76">
        <v>5100000</v>
      </c>
      <c r="C36" s="77">
        <f>3600000+1500000+200000</f>
        <v>5300000</v>
      </c>
      <c r="D36" s="74">
        <v>225500</v>
      </c>
      <c r="E36" s="135">
        <v>225500</v>
      </c>
      <c r="F36" s="75">
        <v>770500</v>
      </c>
      <c r="G36" s="78">
        <v>220500</v>
      </c>
      <c r="H36" s="78">
        <v>220500</v>
      </c>
      <c r="I36" s="75">
        <f>214719.71+33378.5</f>
        <v>248098.21</v>
      </c>
      <c r="J36" s="75"/>
      <c r="K36" s="75"/>
      <c r="L36" s="75"/>
      <c r="M36" s="75"/>
      <c r="N36" s="75"/>
      <c r="O36" s="75"/>
      <c r="P36" s="98">
        <f t="shared" si="5"/>
        <v>1910598.21</v>
      </c>
      <c r="Q36" s="86"/>
      <c r="R36" s="87"/>
      <c r="S36" s="85"/>
    </row>
    <row r="37" spans="1:19" ht="15.75" x14ac:dyDescent="0.25">
      <c r="A37" s="96" t="s">
        <v>32</v>
      </c>
      <c r="B37" s="76"/>
      <c r="C37" s="77"/>
      <c r="D37" s="74"/>
      <c r="E37" s="135"/>
      <c r="F37" s="74"/>
      <c r="G37" s="75"/>
      <c r="H37" s="75"/>
      <c r="I37" s="75"/>
      <c r="J37" s="75"/>
      <c r="K37" s="75"/>
      <c r="L37" s="75"/>
      <c r="M37" s="75"/>
      <c r="N37" s="75"/>
      <c r="O37" s="75"/>
      <c r="P37" s="98">
        <f t="shared" si="5"/>
        <v>0</v>
      </c>
      <c r="Q37" s="86"/>
      <c r="R37" s="87"/>
      <c r="S37" s="85"/>
    </row>
    <row r="38" spans="1:19" ht="16.5" thickBot="1" x14ac:dyDescent="0.3">
      <c r="A38" s="103" t="s">
        <v>33</v>
      </c>
      <c r="B38" s="104">
        <v>6035000</v>
      </c>
      <c r="C38" s="105">
        <f>3000000+1800000+70000+1500000+50000+10000</f>
        <v>6430000</v>
      </c>
      <c r="D38" s="106"/>
      <c r="E38" s="136"/>
      <c r="F38" s="106"/>
      <c r="G38" s="107"/>
      <c r="H38" s="108">
        <v>112808</v>
      </c>
      <c r="I38" s="108">
        <f>55068.59+147807.64</f>
        <v>202876.23</v>
      </c>
      <c r="J38" s="107"/>
      <c r="K38" s="107"/>
      <c r="L38" s="107"/>
      <c r="M38" s="107"/>
      <c r="N38" s="107"/>
      <c r="O38" s="107"/>
      <c r="P38" s="109">
        <f t="shared" si="5"/>
        <v>315684.23</v>
      </c>
      <c r="Q38" s="86"/>
      <c r="R38" s="87"/>
      <c r="S38" s="85"/>
    </row>
    <row r="39" spans="1:19" s="60" customFormat="1" ht="15.75" thickBot="1" x14ac:dyDescent="0.3">
      <c r="A39" s="117" t="s">
        <v>34</v>
      </c>
      <c r="B39" s="118">
        <f>SUM(B40:B48)</f>
        <v>1500000</v>
      </c>
      <c r="C39" s="119">
        <f t="shared" ref="C39:G39" si="7">SUM(C40:C48)</f>
        <v>1862600</v>
      </c>
      <c r="D39" s="118">
        <f t="shared" si="7"/>
        <v>0</v>
      </c>
      <c r="E39" s="139">
        <f t="shared" si="7"/>
        <v>0</v>
      </c>
      <c r="F39" s="118">
        <f t="shared" si="7"/>
        <v>0</v>
      </c>
      <c r="G39" s="118">
        <f t="shared" si="7"/>
        <v>0</v>
      </c>
      <c r="H39" s="118">
        <f>SUM(H40:H48)</f>
        <v>0</v>
      </c>
      <c r="I39" s="118">
        <f t="shared" ref="I39:O39" si="8">SUM(I40:I48)</f>
        <v>159943.48000000001</v>
      </c>
      <c r="J39" s="118">
        <f t="shared" si="8"/>
        <v>0</v>
      </c>
      <c r="K39" s="118">
        <f t="shared" si="8"/>
        <v>0</v>
      </c>
      <c r="L39" s="118">
        <f t="shared" si="8"/>
        <v>0</v>
      </c>
      <c r="M39" s="118">
        <f t="shared" si="8"/>
        <v>0</v>
      </c>
      <c r="N39" s="118">
        <f t="shared" si="8"/>
        <v>0</v>
      </c>
      <c r="O39" s="118">
        <f t="shared" si="8"/>
        <v>0</v>
      </c>
      <c r="P39" s="120">
        <f>SUM(P40:P48)</f>
        <v>159943.48000000001</v>
      </c>
      <c r="Q39" s="83"/>
      <c r="R39" s="84"/>
      <c r="S39" s="88"/>
    </row>
    <row r="40" spans="1:19" ht="15.75" x14ac:dyDescent="0.25">
      <c r="A40" s="110" t="s">
        <v>35</v>
      </c>
      <c r="B40" s="111">
        <v>1500000</v>
      </c>
      <c r="C40" s="112">
        <f>1500000+43000+240000</f>
        <v>1783000</v>
      </c>
      <c r="D40" s="113"/>
      <c r="E40" s="134"/>
      <c r="F40" s="113"/>
      <c r="G40" s="114"/>
      <c r="H40" s="114"/>
      <c r="I40" s="115">
        <v>159943.48000000001</v>
      </c>
      <c r="J40" s="114"/>
      <c r="K40" s="114"/>
      <c r="L40" s="114"/>
      <c r="M40" s="114"/>
      <c r="N40" s="114"/>
      <c r="O40" s="114"/>
      <c r="P40" s="116">
        <f>SUM(D40:O40)</f>
        <v>159943.48000000001</v>
      </c>
      <c r="Q40" s="86"/>
      <c r="R40" s="87"/>
      <c r="S40" s="85"/>
    </row>
    <row r="41" spans="1:19" x14ac:dyDescent="0.25">
      <c r="A41" s="96" t="s">
        <v>36</v>
      </c>
      <c r="B41" s="76"/>
      <c r="C41" s="97"/>
      <c r="D41" s="74"/>
      <c r="E41" s="135"/>
      <c r="F41" s="74"/>
      <c r="G41" s="75"/>
      <c r="H41" s="75"/>
      <c r="I41" s="75"/>
      <c r="J41" s="75"/>
      <c r="K41" s="75"/>
      <c r="L41" s="75"/>
      <c r="M41" s="75"/>
      <c r="N41" s="75"/>
      <c r="O41" s="75"/>
      <c r="P41" s="98">
        <f t="shared" si="5"/>
        <v>0</v>
      </c>
      <c r="Q41" s="86"/>
      <c r="R41" s="87"/>
      <c r="S41" s="85"/>
    </row>
    <row r="42" spans="1:19" x14ac:dyDescent="0.25">
      <c r="A42" s="96" t="s">
        <v>37</v>
      </c>
      <c r="B42" s="76"/>
      <c r="C42" s="97"/>
      <c r="D42" s="74"/>
      <c r="E42" s="135"/>
      <c r="F42" s="74"/>
      <c r="G42" s="75"/>
      <c r="H42" s="75"/>
      <c r="I42" s="75"/>
      <c r="J42" s="75"/>
      <c r="K42" s="75"/>
      <c r="L42" s="75"/>
      <c r="M42" s="75"/>
      <c r="N42" s="75"/>
      <c r="O42" s="75"/>
      <c r="P42" s="98">
        <f t="shared" si="5"/>
        <v>0</v>
      </c>
      <c r="Q42" s="86"/>
      <c r="R42" s="87"/>
      <c r="S42" s="85"/>
    </row>
    <row r="43" spans="1:19" x14ac:dyDescent="0.25">
      <c r="A43" s="96" t="s">
        <v>38</v>
      </c>
      <c r="B43" s="76"/>
      <c r="C43" s="97"/>
      <c r="D43" s="74"/>
      <c r="E43" s="135"/>
      <c r="F43" s="74"/>
      <c r="G43" s="75"/>
      <c r="H43" s="75"/>
      <c r="I43" s="75"/>
      <c r="J43" s="75"/>
      <c r="K43" s="75"/>
      <c r="L43" s="75"/>
      <c r="M43" s="75"/>
      <c r="N43" s="75"/>
      <c r="O43" s="75"/>
      <c r="P43" s="98">
        <f t="shared" si="5"/>
        <v>0</v>
      </c>
      <c r="Q43" s="86"/>
      <c r="R43" s="87"/>
      <c r="S43" s="85"/>
    </row>
    <row r="44" spans="1:19" x14ac:dyDescent="0.25">
      <c r="A44" s="96" t="s">
        <v>39</v>
      </c>
      <c r="B44" s="76"/>
      <c r="C44" s="100">
        <v>79600</v>
      </c>
      <c r="D44" s="74"/>
      <c r="E44" s="135"/>
      <c r="F44" s="74"/>
      <c r="G44" s="75"/>
      <c r="H44" s="75"/>
      <c r="I44" s="75"/>
      <c r="J44" s="75"/>
      <c r="K44" s="75"/>
      <c r="L44" s="75"/>
      <c r="M44" s="75"/>
      <c r="N44" s="75"/>
      <c r="O44" s="75"/>
      <c r="P44" s="98">
        <f t="shared" si="5"/>
        <v>0</v>
      </c>
      <c r="Q44" s="86"/>
      <c r="R44" s="87"/>
      <c r="S44" s="85"/>
    </row>
    <row r="45" spans="1:19" x14ac:dyDescent="0.25">
      <c r="A45" s="96" t="s">
        <v>40</v>
      </c>
      <c r="B45" s="76"/>
      <c r="C45" s="97"/>
      <c r="D45" s="74"/>
      <c r="E45" s="135"/>
      <c r="F45" s="74"/>
      <c r="G45" s="75"/>
      <c r="H45" s="75"/>
      <c r="I45" s="75"/>
      <c r="J45" s="75"/>
      <c r="K45" s="75"/>
      <c r="L45" s="75"/>
      <c r="M45" s="75"/>
      <c r="N45" s="75"/>
      <c r="O45" s="75"/>
      <c r="P45" s="98">
        <f t="shared" si="5"/>
        <v>0</v>
      </c>
      <c r="Q45" s="86"/>
      <c r="R45" s="87"/>
      <c r="S45" s="85"/>
    </row>
    <row r="46" spans="1:19" x14ac:dyDescent="0.25">
      <c r="A46" s="96" t="s">
        <v>41</v>
      </c>
      <c r="B46" s="76"/>
      <c r="C46" s="97"/>
      <c r="D46" s="74"/>
      <c r="E46" s="135"/>
      <c r="F46" s="74"/>
      <c r="G46" s="75"/>
      <c r="H46" s="75"/>
      <c r="I46" s="75"/>
      <c r="J46" s="75"/>
      <c r="K46" s="75"/>
      <c r="L46" s="75"/>
      <c r="M46" s="75"/>
      <c r="N46" s="75"/>
      <c r="O46" s="75"/>
      <c r="P46" s="98">
        <f t="shared" si="5"/>
        <v>0</v>
      </c>
    </row>
    <row r="47" spans="1:19" x14ac:dyDescent="0.25">
      <c r="A47" s="96" t="s">
        <v>42</v>
      </c>
      <c r="B47" s="76"/>
      <c r="C47" s="97"/>
      <c r="D47" s="74"/>
      <c r="E47" s="135"/>
      <c r="F47" s="74"/>
      <c r="G47" s="75"/>
      <c r="H47" s="75"/>
      <c r="I47" s="75"/>
      <c r="J47" s="75"/>
      <c r="K47" s="75"/>
      <c r="L47" s="75"/>
      <c r="M47" s="75"/>
      <c r="N47" s="75"/>
      <c r="O47" s="75"/>
      <c r="P47" s="98">
        <f t="shared" si="5"/>
        <v>0</v>
      </c>
    </row>
    <row r="48" spans="1:19" x14ac:dyDescent="0.25">
      <c r="A48" s="96" t="s">
        <v>43</v>
      </c>
      <c r="B48" s="76"/>
      <c r="C48" s="97"/>
      <c r="D48" s="74"/>
      <c r="E48" s="135"/>
      <c r="F48" s="74"/>
      <c r="G48" s="75"/>
      <c r="H48" s="75"/>
      <c r="I48" s="75"/>
      <c r="J48" s="75"/>
      <c r="K48" s="75"/>
      <c r="L48" s="75"/>
      <c r="M48" s="75"/>
      <c r="N48" s="75"/>
      <c r="O48" s="75"/>
      <c r="P48" s="98">
        <f t="shared" si="5"/>
        <v>0</v>
      </c>
    </row>
    <row r="49" spans="1:23" s="61" customFormat="1" ht="15.75" x14ac:dyDescent="0.25">
      <c r="A49" s="101" t="s">
        <v>44</v>
      </c>
      <c r="B49" s="102">
        <f>+B13+B19+B29+B39</f>
        <v>653027387</v>
      </c>
      <c r="C49" s="102">
        <f t="shared" ref="C49:F49" si="9">+C13+C19+C29+C39</f>
        <v>653027387</v>
      </c>
      <c r="D49" s="102">
        <f t="shared" si="9"/>
        <v>34794719.310000002</v>
      </c>
      <c r="E49" s="140">
        <f t="shared" si="9"/>
        <v>35874710.159999996</v>
      </c>
      <c r="F49" s="102">
        <f t="shared" si="9"/>
        <v>38863685.929999992</v>
      </c>
      <c r="G49" s="102">
        <f>+G13+G19+G29+G39</f>
        <v>40904290.339999996</v>
      </c>
      <c r="H49" s="102">
        <f>+H13+H19+H29+H39</f>
        <v>39574826.699999996</v>
      </c>
      <c r="I49" s="102">
        <f>+I13+I19+I29+I39</f>
        <v>42560642.419999994</v>
      </c>
      <c r="J49" s="102">
        <f t="shared" ref="J49:P49" si="10">+J13+J19+J29+J39</f>
        <v>0</v>
      </c>
      <c r="K49" s="102">
        <f t="shared" si="10"/>
        <v>0</v>
      </c>
      <c r="L49" s="102">
        <f t="shared" si="10"/>
        <v>0</v>
      </c>
      <c r="M49" s="102">
        <f t="shared" si="10"/>
        <v>0</v>
      </c>
      <c r="N49" s="102">
        <f t="shared" si="10"/>
        <v>0</v>
      </c>
      <c r="O49" s="102">
        <f t="shared" si="10"/>
        <v>0</v>
      </c>
      <c r="P49" s="102">
        <f t="shared" si="10"/>
        <v>232572874.85999998</v>
      </c>
      <c r="Q49" s="81"/>
      <c r="R49" s="82"/>
      <c r="S49" s="79"/>
      <c r="T49"/>
      <c r="U49"/>
      <c r="V49"/>
      <c r="W49"/>
    </row>
    <row r="50" spans="1:23" x14ac:dyDescent="0.25">
      <c r="A50" t="s">
        <v>65</v>
      </c>
    </row>
    <row r="51" spans="1:23" x14ac:dyDescent="0.25">
      <c r="A51" t="s">
        <v>66</v>
      </c>
      <c r="B51" s="62"/>
      <c r="C51" s="63"/>
      <c r="D51" s="36"/>
      <c r="E51" s="141"/>
      <c r="F51" s="36"/>
      <c r="M51"/>
      <c r="N51"/>
      <c r="O51"/>
      <c r="P51" s="33"/>
    </row>
    <row r="52" spans="1:23" x14ac:dyDescent="0.25">
      <c r="A52" t="s">
        <v>67</v>
      </c>
      <c r="B52" s="62"/>
      <c r="C52" s="63"/>
      <c r="D52" s="36"/>
      <c r="E52" s="141"/>
      <c r="F52" s="36"/>
      <c r="M52"/>
      <c r="N52"/>
      <c r="O52"/>
      <c r="P52" s="33"/>
    </row>
    <row r="53" spans="1:23" x14ac:dyDescent="0.25">
      <c r="B53" s="62"/>
      <c r="C53" s="63"/>
      <c r="D53" s="36"/>
      <c r="E53" s="141"/>
      <c r="F53" s="36"/>
      <c r="M53"/>
      <c r="N53"/>
      <c r="O53"/>
      <c r="P53" s="33"/>
    </row>
    <row r="54" spans="1:23" x14ac:dyDescent="0.25">
      <c r="B54" s="62"/>
      <c r="C54" s="63"/>
      <c r="D54" s="36"/>
      <c r="E54" s="141"/>
      <c r="F54" s="36"/>
      <c r="M54"/>
      <c r="N54"/>
      <c r="O54"/>
      <c r="P54" s="33"/>
    </row>
    <row r="55" spans="1:23" ht="28.5" customHeight="1" x14ac:dyDescent="0.25">
      <c r="B55" s="62"/>
      <c r="C55" s="63"/>
      <c r="D55" s="36"/>
      <c r="E55" s="141"/>
      <c r="F55" s="36"/>
      <c r="M55"/>
      <c r="N55"/>
      <c r="O55"/>
      <c r="P55" s="33"/>
    </row>
    <row r="56" spans="1:23" x14ac:dyDescent="0.25">
      <c r="A56" s="64" t="s">
        <v>68</v>
      </c>
      <c r="B56" s="62"/>
      <c r="C56" s="63"/>
      <c r="D56" s="36"/>
      <c r="E56" s="141"/>
      <c r="F56" s="36"/>
      <c r="M56"/>
      <c r="N56"/>
      <c r="O56"/>
      <c r="P56" s="33"/>
    </row>
    <row r="57" spans="1:23" ht="18.75" x14ac:dyDescent="0.3">
      <c r="A57" s="65" t="s">
        <v>69</v>
      </c>
      <c r="B57" s="3"/>
      <c r="C57" s="66"/>
      <c r="D57" s="3"/>
      <c r="E57" s="142"/>
      <c r="J57" s="67" t="s">
        <v>70</v>
      </c>
      <c r="K57" s="3"/>
      <c r="L57" s="3"/>
      <c r="M57"/>
      <c r="N57"/>
      <c r="O57"/>
      <c r="P57" s="33"/>
    </row>
    <row r="58" spans="1:23" ht="18.75" x14ac:dyDescent="0.3">
      <c r="A58" s="32" t="s">
        <v>71</v>
      </c>
      <c r="B58" s="68"/>
      <c r="C58" s="69"/>
      <c r="D58" s="68"/>
      <c r="E58" s="143"/>
      <c r="J58" s="65" t="s">
        <v>72</v>
      </c>
      <c r="K58" s="68"/>
      <c r="L58" s="68"/>
      <c r="M58"/>
      <c r="N58"/>
      <c r="O58"/>
      <c r="P58" s="33"/>
    </row>
    <row r="59" spans="1:23" ht="15.75" x14ac:dyDescent="0.25">
      <c r="A59" s="68"/>
      <c r="D59"/>
      <c r="E59" s="143"/>
      <c r="J59" s="32" t="s">
        <v>73</v>
      </c>
      <c r="K59"/>
      <c r="L59"/>
      <c r="M59"/>
      <c r="N59"/>
      <c r="O59"/>
      <c r="P59" s="33"/>
    </row>
    <row r="60" spans="1:23" x14ac:dyDescent="0.25">
      <c r="A60" s="68"/>
      <c r="D60"/>
      <c r="E60" s="143"/>
      <c r="J60" s="70"/>
      <c r="K60"/>
      <c r="L60"/>
      <c r="M60"/>
      <c r="N60"/>
      <c r="O60"/>
      <c r="P60" s="33"/>
    </row>
    <row r="61" spans="1:23" ht="15.75" thickBot="1" x14ac:dyDescent="0.3">
      <c r="A61" s="71"/>
      <c r="D61"/>
      <c r="E61" s="143"/>
      <c r="J61" s="72"/>
      <c r="K61"/>
      <c r="L61"/>
      <c r="M61"/>
      <c r="N61"/>
      <c r="O61"/>
      <c r="P61" s="33"/>
    </row>
    <row r="62" spans="1:23" ht="15.75" thickBot="1" x14ac:dyDescent="0.3">
      <c r="A62" s="68"/>
      <c r="D62"/>
      <c r="E62" s="143"/>
      <c r="J62" s="71"/>
      <c r="K62" s="73"/>
      <c r="L62" s="73"/>
      <c r="M62"/>
      <c r="N62"/>
      <c r="O62"/>
      <c r="P62" s="33"/>
    </row>
  </sheetData>
  <mergeCells count="10">
    <mergeCell ref="A10:A11"/>
    <mergeCell ref="B10:B11"/>
    <mergeCell ref="C10:C11"/>
    <mergeCell ref="D10:P10"/>
    <mergeCell ref="A3:P3"/>
    <mergeCell ref="A4:P4"/>
    <mergeCell ref="A5:P5"/>
    <mergeCell ref="A6:P6"/>
    <mergeCell ref="A7:P7"/>
    <mergeCell ref="A8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2022-07-08T12:51:12Z</dcterms:created>
  <dcterms:modified xsi:type="dcterms:W3CDTF">2022-07-08T13:01:32Z</dcterms:modified>
</cp:coreProperties>
</file>