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8" windowWidth="14808" windowHeight="7956"/>
  </bookViews>
  <sheets>
    <sheet name="Hoja1" sheetId="1" r:id="rId1"/>
    <sheet name="Hoja2" sheetId="2" r:id="rId2"/>
    <sheet name="Hoja3" sheetId="3" r:id="rId3"/>
  </sheets>
  <definedNames>
    <definedName name="_xlnm.Print_Area" localSheetId="0">Hoja1!$A$1:$K$385</definedName>
  </definedNames>
  <calcPr calcId="145621"/>
</workbook>
</file>

<file path=xl/calcChain.xml><?xml version="1.0" encoding="utf-8"?>
<calcChain xmlns="http://schemas.openxmlformats.org/spreadsheetml/2006/main">
  <c r="H9" i="1" l="1"/>
  <c r="J9" i="1"/>
  <c r="H10" i="1"/>
  <c r="J10" i="1"/>
  <c r="H11" i="1"/>
  <c r="J11" i="1"/>
  <c r="H281" i="1"/>
  <c r="J281" i="1"/>
  <c r="H282" i="1"/>
  <c r="J282" i="1"/>
  <c r="H278" i="1"/>
  <c r="J278" i="1"/>
  <c r="H279" i="1"/>
  <c r="J279" i="1"/>
  <c r="H280" i="1"/>
  <c r="J280" i="1"/>
  <c r="H112" i="1"/>
  <c r="J112" i="1"/>
  <c r="H109" i="1"/>
  <c r="J109" i="1"/>
  <c r="H110" i="1"/>
  <c r="J110" i="1"/>
  <c r="H111" i="1"/>
  <c r="J111" i="1"/>
  <c r="H107" i="1"/>
  <c r="J107" i="1"/>
  <c r="H108" i="1"/>
  <c r="J108" i="1"/>
  <c r="H256" i="1"/>
  <c r="J256" i="1"/>
  <c r="H253" i="1"/>
  <c r="J253" i="1"/>
  <c r="H254" i="1"/>
  <c r="J254" i="1"/>
  <c r="H255" i="1"/>
  <c r="J255" i="1"/>
  <c r="H249" i="1"/>
  <c r="J249" i="1"/>
  <c r="H250" i="1"/>
  <c r="J250" i="1"/>
  <c r="H251" i="1"/>
  <c r="J251" i="1"/>
  <c r="H252" i="1"/>
  <c r="J252" i="1"/>
  <c r="H248" i="1"/>
  <c r="J248" i="1"/>
  <c r="H20" i="1"/>
  <c r="J20" i="1"/>
  <c r="H19" i="1"/>
  <c r="J19" i="1"/>
  <c r="H33" i="1"/>
  <c r="J33" i="1"/>
  <c r="J379" i="1" l="1"/>
  <c r="H379" i="1"/>
  <c r="J378" i="1"/>
  <c r="H378" i="1"/>
  <c r="H377" i="1"/>
  <c r="J377" i="1" s="1"/>
  <c r="H376" i="1"/>
  <c r="J376" i="1" s="1"/>
  <c r="H375" i="1"/>
  <c r="J375" i="1" s="1"/>
  <c r="H374" i="1"/>
  <c r="J374" i="1" s="1"/>
  <c r="J373" i="1"/>
  <c r="H373" i="1"/>
  <c r="H372" i="1"/>
  <c r="J372" i="1" s="1"/>
  <c r="J371" i="1"/>
  <c r="H371" i="1"/>
  <c r="H370" i="1"/>
  <c r="J370" i="1" s="1"/>
  <c r="H369" i="1"/>
  <c r="J369" i="1" s="1"/>
  <c r="H368" i="1"/>
  <c r="J368" i="1" s="1"/>
  <c r="J367" i="1"/>
  <c r="H367" i="1"/>
  <c r="J366" i="1"/>
  <c r="H366" i="1"/>
  <c r="J365" i="1"/>
  <c r="H365" i="1"/>
  <c r="J364" i="1"/>
  <c r="H364" i="1"/>
  <c r="J363" i="1"/>
  <c r="H363" i="1"/>
  <c r="J362" i="1"/>
  <c r="H362" i="1"/>
  <c r="H361" i="1"/>
  <c r="J361" i="1" s="1"/>
  <c r="H360" i="1"/>
  <c r="J360" i="1" s="1"/>
  <c r="H359" i="1"/>
  <c r="J359" i="1" s="1"/>
  <c r="J358" i="1"/>
  <c r="H358" i="1"/>
  <c r="J357" i="1"/>
  <c r="H357" i="1"/>
  <c r="J356" i="1"/>
  <c r="H356" i="1"/>
  <c r="H355" i="1"/>
  <c r="J355" i="1" s="1"/>
  <c r="J354" i="1"/>
  <c r="H354" i="1"/>
  <c r="J353" i="1"/>
  <c r="H353" i="1"/>
  <c r="J352" i="1"/>
  <c r="H352" i="1"/>
  <c r="J351" i="1"/>
  <c r="H351" i="1"/>
  <c r="J350" i="1"/>
  <c r="H350" i="1"/>
  <c r="H349" i="1"/>
  <c r="J349" i="1" s="1"/>
  <c r="J348" i="1"/>
  <c r="H348" i="1"/>
  <c r="H347" i="1"/>
  <c r="J347" i="1" s="1"/>
  <c r="J346" i="1"/>
  <c r="H346" i="1"/>
  <c r="H345" i="1"/>
  <c r="J345" i="1" s="1"/>
  <c r="J344" i="1"/>
  <c r="H344" i="1"/>
  <c r="H343" i="1"/>
  <c r="J343" i="1" s="1"/>
  <c r="H342" i="1"/>
  <c r="J342" i="1" s="1"/>
  <c r="H341" i="1"/>
  <c r="J341" i="1" s="1"/>
  <c r="H340" i="1"/>
  <c r="J340" i="1" s="1"/>
  <c r="H339" i="1"/>
  <c r="J339" i="1" s="1"/>
  <c r="H338" i="1"/>
  <c r="J338" i="1" s="1"/>
  <c r="H337" i="1"/>
  <c r="J337" i="1" s="1"/>
  <c r="H336" i="1"/>
  <c r="J336" i="1" s="1"/>
  <c r="J335" i="1"/>
  <c r="H335" i="1"/>
  <c r="J334" i="1"/>
  <c r="H334" i="1"/>
  <c r="H333" i="1"/>
  <c r="J333" i="1" s="1"/>
  <c r="J332" i="1"/>
  <c r="H332" i="1"/>
  <c r="J331" i="1"/>
  <c r="H331" i="1"/>
  <c r="J330" i="1"/>
  <c r="H330" i="1"/>
  <c r="J329" i="1"/>
  <c r="H329" i="1"/>
  <c r="J328" i="1"/>
  <c r="H328" i="1"/>
  <c r="J327" i="1"/>
  <c r="H327" i="1"/>
  <c r="H326" i="1"/>
  <c r="J326" i="1" s="1"/>
  <c r="J325" i="1"/>
  <c r="H325" i="1"/>
  <c r="H324" i="1"/>
  <c r="J324" i="1" s="1"/>
  <c r="J323" i="1"/>
  <c r="H323" i="1"/>
  <c r="J322" i="1"/>
  <c r="H322" i="1"/>
  <c r="J321" i="1"/>
  <c r="H321" i="1"/>
  <c r="H320" i="1"/>
  <c r="J320" i="1" s="1"/>
  <c r="H319" i="1"/>
  <c r="J319" i="1" s="1"/>
  <c r="J318" i="1"/>
  <c r="H318" i="1"/>
  <c r="J317" i="1"/>
  <c r="H317" i="1"/>
  <c r="J316" i="1"/>
  <c r="H316" i="1"/>
  <c r="J315" i="1"/>
  <c r="H315" i="1"/>
  <c r="H314" i="1"/>
  <c r="J314" i="1" s="1"/>
  <c r="J313" i="1"/>
  <c r="H313" i="1"/>
  <c r="J312" i="1"/>
  <c r="H312" i="1"/>
  <c r="J311" i="1"/>
  <c r="H311" i="1"/>
  <c r="J310" i="1"/>
  <c r="H310" i="1"/>
  <c r="H309" i="1"/>
  <c r="J309" i="1" s="1"/>
  <c r="H308" i="1"/>
  <c r="J308" i="1" s="1"/>
  <c r="H307" i="1"/>
  <c r="J307" i="1" s="1"/>
  <c r="J306" i="1"/>
  <c r="H306" i="1"/>
  <c r="H305" i="1"/>
  <c r="J305" i="1" s="1"/>
  <c r="H304" i="1"/>
  <c r="J304" i="1" s="1"/>
  <c r="H303" i="1"/>
  <c r="J303" i="1" s="1"/>
  <c r="H302" i="1"/>
  <c r="J302" i="1" s="1"/>
  <c r="H301" i="1"/>
  <c r="J301" i="1" s="1"/>
  <c r="H300" i="1"/>
  <c r="H299" i="1"/>
  <c r="J299" i="1" s="1"/>
  <c r="H298" i="1"/>
  <c r="J298" i="1" s="1"/>
  <c r="J297" i="1"/>
  <c r="H297" i="1"/>
  <c r="H296" i="1"/>
  <c r="J296" i="1" s="1"/>
  <c r="J295" i="1"/>
  <c r="H295" i="1"/>
  <c r="J294" i="1"/>
  <c r="J293" i="1"/>
  <c r="J292" i="1"/>
  <c r="H292" i="1"/>
  <c r="H291" i="1"/>
  <c r="J291" i="1" s="1"/>
  <c r="H290" i="1"/>
  <c r="J290" i="1" s="1"/>
  <c r="H289" i="1"/>
  <c r="J289" i="1" s="1"/>
  <c r="J288" i="1"/>
  <c r="H288" i="1"/>
  <c r="J287" i="1"/>
  <c r="H287" i="1"/>
  <c r="J286" i="1"/>
  <c r="H286" i="1"/>
  <c r="J285" i="1"/>
  <c r="H285" i="1"/>
  <c r="J284" i="1"/>
  <c r="H284" i="1"/>
  <c r="J283" i="1"/>
  <c r="H283" i="1"/>
  <c r="H277" i="1"/>
  <c r="J277" i="1" s="1"/>
  <c r="J276" i="1"/>
  <c r="H275" i="1"/>
  <c r="J275" i="1" s="1"/>
  <c r="H274" i="1"/>
  <c r="J274" i="1" s="1"/>
  <c r="H273" i="1"/>
  <c r="J273" i="1" s="1"/>
  <c r="J272" i="1"/>
  <c r="H272" i="1"/>
  <c r="J271" i="1"/>
  <c r="H271" i="1"/>
  <c r="H270" i="1"/>
  <c r="J270" i="1" s="1"/>
  <c r="H269" i="1"/>
  <c r="J269" i="1" s="1"/>
  <c r="H268" i="1"/>
  <c r="J268" i="1" s="1"/>
  <c r="J267" i="1"/>
  <c r="H267" i="1"/>
  <c r="H266" i="1"/>
  <c r="J266" i="1" s="1"/>
  <c r="J265" i="1"/>
  <c r="H265" i="1"/>
  <c r="J264" i="1"/>
  <c r="H264" i="1"/>
  <c r="J263" i="1"/>
  <c r="H263" i="1"/>
  <c r="J262" i="1"/>
  <c r="H262" i="1"/>
  <c r="J261" i="1"/>
  <c r="H261" i="1"/>
  <c r="H260" i="1"/>
  <c r="J260" i="1" s="1"/>
  <c r="H259" i="1"/>
  <c r="J259" i="1" s="1"/>
  <c r="H258" i="1"/>
  <c r="J258" i="1" s="1"/>
  <c r="H257" i="1"/>
  <c r="J257" i="1" s="1"/>
  <c r="H247" i="1"/>
  <c r="J247" i="1" s="1"/>
  <c r="H246" i="1"/>
  <c r="J246" i="1" s="1"/>
  <c r="H245" i="1"/>
  <c r="J245" i="1" s="1"/>
  <c r="H244" i="1"/>
  <c r="J244" i="1" s="1"/>
  <c r="H243" i="1"/>
  <c r="J243" i="1" s="1"/>
  <c r="H242" i="1"/>
  <c r="J242" i="1" s="1"/>
  <c r="J241" i="1"/>
  <c r="H241" i="1"/>
  <c r="J240" i="1"/>
  <c r="H240" i="1"/>
  <c r="H239" i="1"/>
  <c r="J239" i="1" s="1"/>
  <c r="J238" i="1"/>
  <c r="H238" i="1"/>
  <c r="J237" i="1"/>
  <c r="H237" i="1"/>
  <c r="H236" i="1"/>
  <c r="J236" i="1" s="1"/>
  <c r="H235" i="1"/>
  <c r="J235" i="1" s="1"/>
  <c r="J234" i="1"/>
  <c r="H234" i="1"/>
  <c r="H233" i="1"/>
  <c r="J233" i="1" s="1"/>
  <c r="H232" i="1"/>
  <c r="J232" i="1" s="1"/>
  <c r="H231" i="1"/>
  <c r="J231" i="1" s="1"/>
  <c r="J230" i="1"/>
  <c r="H230" i="1"/>
  <c r="J229" i="1"/>
  <c r="H229" i="1"/>
  <c r="H228" i="1"/>
  <c r="J228" i="1" s="1"/>
  <c r="J227" i="1"/>
  <c r="H227" i="1"/>
  <c r="H226" i="1"/>
  <c r="J226" i="1" s="1"/>
  <c r="J225" i="1"/>
  <c r="H225" i="1"/>
  <c r="H224" i="1"/>
  <c r="J224" i="1" s="1"/>
  <c r="H223" i="1"/>
  <c r="J223" i="1" s="1"/>
  <c r="H222" i="1"/>
  <c r="J222" i="1" s="1"/>
  <c r="H221" i="1"/>
  <c r="J221" i="1" s="1"/>
  <c r="J220" i="1"/>
  <c r="H220" i="1"/>
  <c r="H219" i="1"/>
  <c r="J219" i="1" s="1"/>
  <c r="H218" i="1"/>
  <c r="J218" i="1" s="1"/>
  <c r="H217" i="1"/>
  <c r="J217" i="1" s="1"/>
  <c r="J216" i="1"/>
  <c r="H216" i="1"/>
  <c r="H215" i="1"/>
  <c r="J215" i="1" s="1"/>
  <c r="J214" i="1"/>
  <c r="H214" i="1"/>
  <c r="H213" i="1"/>
  <c r="J213" i="1" s="1"/>
  <c r="H212" i="1"/>
  <c r="J212" i="1" s="1"/>
  <c r="J211" i="1"/>
  <c r="H211" i="1"/>
  <c r="J210" i="1"/>
  <c r="H210" i="1"/>
  <c r="H209" i="1"/>
  <c r="J209" i="1" s="1"/>
  <c r="J208" i="1"/>
  <c r="H208" i="1"/>
  <c r="J207" i="1"/>
  <c r="H207" i="1"/>
  <c r="J206" i="1"/>
  <c r="H206" i="1"/>
  <c r="H205" i="1"/>
  <c r="J205" i="1" s="1"/>
  <c r="J204" i="1"/>
  <c r="H204" i="1"/>
  <c r="J203" i="1"/>
  <c r="H203" i="1"/>
  <c r="J202" i="1"/>
  <c r="H202" i="1"/>
  <c r="J201" i="1"/>
  <c r="H201" i="1"/>
  <c r="J200" i="1"/>
  <c r="H200" i="1"/>
  <c r="H199" i="1"/>
  <c r="J199" i="1" s="1"/>
  <c r="H198" i="1"/>
  <c r="J198" i="1" s="1"/>
  <c r="H197" i="1"/>
  <c r="J197" i="1" s="1"/>
  <c r="J196" i="1"/>
  <c r="H196" i="1"/>
  <c r="H195" i="1"/>
  <c r="J195" i="1" s="1"/>
  <c r="H194" i="1"/>
  <c r="J194" i="1" s="1"/>
  <c r="H193" i="1"/>
  <c r="J193" i="1" s="1"/>
  <c r="J192" i="1"/>
  <c r="H192" i="1"/>
  <c r="J191" i="1"/>
  <c r="H191" i="1"/>
  <c r="H190" i="1"/>
  <c r="J190" i="1" s="1"/>
  <c r="H189" i="1"/>
  <c r="J189" i="1" s="1"/>
  <c r="H188" i="1"/>
  <c r="J188" i="1" s="1"/>
  <c r="J187" i="1"/>
  <c r="H187" i="1"/>
  <c r="J186" i="1"/>
  <c r="H186" i="1"/>
  <c r="J185" i="1"/>
  <c r="H185" i="1"/>
  <c r="J184" i="1"/>
  <c r="H184" i="1"/>
  <c r="J183" i="1"/>
  <c r="H183" i="1"/>
  <c r="H182" i="1"/>
  <c r="J182" i="1" s="1"/>
  <c r="J181" i="1"/>
  <c r="H181" i="1"/>
  <c r="J180" i="1"/>
  <c r="H180" i="1"/>
  <c r="J179" i="1"/>
  <c r="H179" i="1"/>
  <c r="J178" i="1"/>
  <c r="H178" i="1"/>
  <c r="J177" i="1"/>
  <c r="H177" i="1"/>
  <c r="H176" i="1"/>
  <c r="J176" i="1" s="1"/>
  <c r="H175" i="1"/>
  <c r="J175" i="1" s="1"/>
  <c r="H174" i="1"/>
  <c r="J174" i="1" s="1"/>
  <c r="J173" i="1"/>
  <c r="H173" i="1"/>
  <c r="H172" i="1"/>
  <c r="J172" i="1" s="1"/>
  <c r="H171" i="1"/>
  <c r="J171" i="1" s="1"/>
  <c r="J170" i="1"/>
  <c r="H170" i="1"/>
  <c r="H169" i="1"/>
  <c r="J169" i="1" s="1"/>
  <c r="J168" i="1"/>
  <c r="H168" i="1"/>
  <c r="H167" i="1"/>
  <c r="J167" i="1" s="1"/>
  <c r="J166" i="1"/>
  <c r="H166" i="1"/>
  <c r="J165" i="1"/>
  <c r="H165" i="1"/>
  <c r="H164" i="1"/>
  <c r="J164" i="1" s="1"/>
  <c r="H163" i="1"/>
  <c r="J163" i="1" s="1"/>
  <c r="J162" i="1"/>
  <c r="H162" i="1"/>
  <c r="J161" i="1"/>
  <c r="H161" i="1"/>
  <c r="H160" i="1"/>
  <c r="J160" i="1" s="1"/>
  <c r="J159" i="1"/>
  <c r="H159" i="1"/>
  <c r="H158" i="1"/>
  <c r="J158" i="1" s="1"/>
  <c r="J157" i="1"/>
  <c r="H157" i="1"/>
  <c r="H156" i="1"/>
  <c r="J155" i="1"/>
  <c r="H155" i="1"/>
  <c r="H154" i="1"/>
  <c r="J154" i="1" s="1"/>
  <c r="H153" i="1"/>
  <c r="J153" i="1" s="1"/>
  <c r="J152" i="1"/>
  <c r="H152" i="1"/>
  <c r="H151" i="1"/>
  <c r="J151" i="1" s="1"/>
  <c r="H150" i="1"/>
  <c r="J150" i="1" s="1"/>
  <c r="J149" i="1"/>
  <c r="H149" i="1"/>
  <c r="J148" i="1"/>
  <c r="H148" i="1"/>
  <c r="J147" i="1"/>
  <c r="H147" i="1"/>
  <c r="H146" i="1"/>
  <c r="J146" i="1" s="1"/>
  <c r="H145" i="1"/>
  <c r="J145" i="1" s="1"/>
  <c r="H144" i="1"/>
  <c r="J144" i="1" s="1"/>
  <c r="J143" i="1"/>
  <c r="H143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J136" i="1"/>
  <c r="H136" i="1"/>
  <c r="J135" i="1"/>
  <c r="H135" i="1"/>
  <c r="J134" i="1"/>
  <c r="H134" i="1"/>
  <c r="J133" i="1"/>
  <c r="H133" i="1"/>
  <c r="H132" i="1"/>
  <c r="J132" i="1" s="1"/>
  <c r="J131" i="1"/>
  <c r="H131" i="1"/>
  <c r="H130" i="1"/>
  <c r="J130" i="1" s="1"/>
  <c r="H129" i="1"/>
  <c r="J129" i="1" s="1"/>
  <c r="J128" i="1"/>
  <c r="H128" i="1"/>
  <c r="H127" i="1"/>
  <c r="J127" i="1" s="1"/>
  <c r="H126" i="1"/>
  <c r="J126" i="1" s="1"/>
  <c r="J125" i="1"/>
  <c r="H125" i="1"/>
  <c r="H124" i="1"/>
  <c r="J124" i="1" s="1"/>
  <c r="H123" i="1"/>
  <c r="J123" i="1" s="1"/>
  <c r="J122" i="1"/>
  <c r="H122" i="1"/>
  <c r="J121" i="1"/>
  <c r="H121" i="1"/>
  <c r="H120" i="1"/>
  <c r="J120" i="1" s="1"/>
  <c r="J119" i="1"/>
  <c r="H119" i="1"/>
  <c r="H118" i="1"/>
  <c r="J118" i="1" s="1"/>
  <c r="J117" i="1"/>
  <c r="H117" i="1"/>
  <c r="H116" i="1"/>
  <c r="J116" i="1" s="1"/>
  <c r="J115" i="1"/>
  <c r="H115" i="1"/>
  <c r="H114" i="1"/>
  <c r="J114" i="1" s="1"/>
  <c r="J113" i="1"/>
  <c r="H113" i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J98" i="1"/>
  <c r="H98" i="1"/>
  <c r="H97" i="1"/>
  <c r="J97" i="1" s="1"/>
  <c r="J96" i="1"/>
  <c r="H96" i="1"/>
  <c r="H95" i="1"/>
  <c r="J95" i="1" s="1"/>
  <c r="J94" i="1"/>
  <c r="H94" i="1"/>
  <c r="H93" i="1"/>
  <c r="J93" i="1" s="1"/>
  <c r="J92" i="1"/>
  <c r="H92" i="1"/>
  <c r="H91" i="1"/>
  <c r="J91" i="1" s="1"/>
  <c r="J90" i="1"/>
  <c r="H90" i="1"/>
  <c r="J89" i="1"/>
  <c r="H89" i="1"/>
  <c r="J88" i="1"/>
  <c r="H88" i="1"/>
  <c r="H87" i="1"/>
  <c r="J87" i="1" s="1"/>
  <c r="J86" i="1"/>
  <c r="H86" i="1"/>
  <c r="H85" i="1"/>
  <c r="J85" i="1" s="1"/>
  <c r="H84" i="1"/>
  <c r="J84" i="1" s="1"/>
  <c r="J83" i="1"/>
  <c r="H83" i="1"/>
  <c r="J82" i="1"/>
  <c r="H82" i="1"/>
  <c r="J81" i="1"/>
  <c r="H81" i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J74" i="1"/>
  <c r="H74" i="1"/>
  <c r="J73" i="1"/>
  <c r="H73" i="1"/>
  <c r="J72" i="1"/>
  <c r="H72" i="1"/>
  <c r="J71" i="1"/>
  <c r="H71" i="1"/>
  <c r="J70" i="1"/>
  <c r="H70" i="1"/>
  <c r="J69" i="1"/>
  <c r="H69" i="1"/>
  <c r="J68" i="1"/>
  <c r="H68" i="1"/>
  <c r="H67" i="1"/>
  <c r="J67" i="1" s="1"/>
  <c r="H66" i="1"/>
  <c r="J66" i="1" s="1"/>
  <c r="H65" i="1"/>
  <c r="J65" i="1" s="1"/>
  <c r="J64" i="1"/>
  <c r="H64" i="1"/>
  <c r="J63" i="1"/>
  <c r="H63" i="1"/>
  <c r="J62" i="1"/>
  <c r="H62" i="1"/>
  <c r="J61" i="1"/>
  <c r="H61" i="1"/>
  <c r="H60" i="1"/>
  <c r="J60" i="1" s="1"/>
  <c r="J59" i="1"/>
  <c r="H59" i="1"/>
  <c r="H58" i="1"/>
  <c r="J58" i="1" s="1"/>
  <c r="J57" i="1"/>
  <c r="H57" i="1"/>
  <c r="J56" i="1"/>
  <c r="H56" i="1"/>
  <c r="J55" i="1"/>
  <c r="H55" i="1"/>
  <c r="H54" i="1"/>
  <c r="J54" i="1" s="1"/>
  <c r="H53" i="1"/>
  <c r="J52" i="1"/>
  <c r="H52" i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J44" i="1"/>
  <c r="H44" i="1"/>
  <c r="J43" i="1"/>
  <c r="H43" i="1"/>
  <c r="H42" i="1"/>
  <c r="J42" i="1" s="1"/>
  <c r="H41" i="1"/>
  <c r="J41" i="1" s="1"/>
  <c r="H40" i="1"/>
  <c r="J40" i="1" s="1"/>
  <c r="H39" i="1"/>
  <c r="J39" i="1" s="1"/>
  <c r="H38" i="1"/>
  <c r="J38" i="1" s="1"/>
  <c r="J37" i="1"/>
  <c r="H37" i="1"/>
  <c r="J36" i="1"/>
  <c r="H36" i="1"/>
  <c r="J35" i="1"/>
  <c r="H35" i="1"/>
  <c r="H34" i="1"/>
  <c r="J34" i="1" s="1"/>
  <c r="J32" i="1"/>
  <c r="H32" i="1"/>
  <c r="H31" i="1"/>
  <c r="J30" i="1"/>
  <c r="H30" i="1"/>
  <c r="H29" i="1"/>
  <c r="J29" i="1" s="1"/>
  <c r="H28" i="1"/>
  <c r="J28" i="1" s="1"/>
  <c r="H27" i="1"/>
  <c r="J27" i="1" s="1"/>
  <c r="H26" i="1"/>
  <c r="J26" i="1" s="1"/>
  <c r="J25" i="1"/>
  <c r="H25" i="1"/>
  <c r="H24" i="1"/>
  <c r="J24" i="1" s="1"/>
  <c r="H23" i="1"/>
  <c r="J23" i="1" s="1"/>
  <c r="H22" i="1"/>
  <c r="J22" i="1" s="1"/>
  <c r="H21" i="1"/>
  <c r="J21" i="1" s="1"/>
  <c r="J18" i="1"/>
  <c r="H18" i="1"/>
  <c r="H17" i="1"/>
  <c r="J17" i="1" s="1"/>
  <c r="H16" i="1"/>
  <c r="J16" i="1" s="1"/>
  <c r="H15" i="1"/>
  <c r="J15" i="1" s="1"/>
  <c r="H14" i="1"/>
  <c r="J14" i="1" s="1"/>
  <c r="H13" i="1"/>
  <c r="J13" i="1" s="1"/>
  <c r="H12" i="1"/>
  <c r="J12" i="1" s="1"/>
  <c r="H8" i="1"/>
  <c r="J8" i="1" s="1"/>
  <c r="J7" i="1"/>
  <c r="H7" i="1"/>
  <c r="J380" i="1" l="1"/>
</calcChain>
</file>

<file path=xl/sharedStrings.xml><?xml version="1.0" encoding="utf-8"?>
<sst xmlns="http://schemas.openxmlformats.org/spreadsheetml/2006/main" count="1081" uniqueCount="438">
  <si>
    <t xml:space="preserve">CÓDIGO  </t>
  </si>
  <si>
    <t>DESCRIPCIÓN ARTICULO</t>
  </si>
  <si>
    <t>FECHA ENTRADA</t>
  </si>
  <si>
    <t>ENTRADA</t>
  </si>
  <si>
    <t>SALIDA</t>
  </si>
  <si>
    <t>EXISTENCIA</t>
  </si>
  <si>
    <t>IMPORTE</t>
  </si>
  <si>
    <t>FECHA ACTUALIZACION</t>
  </si>
  <si>
    <t>2.3.3.2.01</t>
  </si>
  <si>
    <t>Agenda p/ecritorio</t>
  </si>
  <si>
    <t>Unds.</t>
  </si>
  <si>
    <t>Alcohol Sanitizanten para Dispensador Scoth</t>
  </si>
  <si>
    <t>Caja 12/1</t>
  </si>
  <si>
    <t>2.3.9.6.01</t>
  </si>
  <si>
    <t xml:space="preserve">Aires Acondicionados de 18 mil BTU, Marca American </t>
  </si>
  <si>
    <t>Aires Acondicionados de 12 mil BTU, Marca Winlet</t>
  </si>
  <si>
    <t>Aires Acondicionados de 36 mil BTU, Marca TCL</t>
  </si>
  <si>
    <t>2.3.9.1.01</t>
  </si>
  <si>
    <t>Ambientador en Spray 8 Oz Air Wick</t>
  </si>
  <si>
    <t>Ambientador p/inodoro</t>
  </si>
  <si>
    <t>2.3.7.2.06</t>
  </si>
  <si>
    <t>Anticorrosivo rojo GLS</t>
  </si>
  <si>
    <t>Gls.</t>
  </si>
  <si>
    <t>2.3.1.1.01</t>
  </si>
  <si>
    <t>Azúcar Blanca /sobres 1 gramo</t>
  </si>
  <si>
    <t>Paq 500/1</t>
  </si>
  <si>
    <t>Azúcar Crema /sobres 1 gramo</t>
  </si>
  <si>
    <t>Archivos Pequenos de 3 gabetas de metal color gris 164 x 46 x64 cm</t>
  </si>
  <si>
    <t>Juego 3/1</t>
  </si>
  <si>
    <t>2.3.9.2.01</t>
  </si>
  <si>
    <t xml:space="preserve">Bandeja de metal para escritorio  2/1  </t>
  </si>
  <si>
    <t>Bandera Dominicana de Nylon (48 x 72 pulgadas).</t>
  </si>
  <si>
    <t>Bandera de Nylon con el logo de DGBA (48 x 67 pulgadas)</t>
  </si>
  <si>
    <t>Bandera de Nylon con el logo Ministerio de Cultura (48 x 67 pulgadas)</t>
  </si>
  <si>
    <t>Banditas de goma #18 surtido</t>
  </si>
  <si>
    <t>Caja 50/1</t>
  </si>
  <si>
    <t>2.3.6.3.04</t>
  </si>
  <si>
    <t>Barra extensión /20 pies</t>
  </si>
  <si>
    <t>Bateria UPS NPP 12V/ 7A HP</t>
  </si>
  <si>
    <t>Baterias p/inodoro GP-LIHIUM, CR-P2 6V</t>
  </si>
  <si>
    <t>Borradores de Pizarras</t>
  </si>
  <si>
    <t>Boligrafo tinta roja</t>
  </si>
  <si>
    <t>Boligrafos tinta Azul Faber  Castell</t>
  </si>
  <si>
    <t>Boligrafos tinta Negro Faber  Castell</t>
  </si>
  <si>
    <t>Boligrafos  Round Stic Amigo Azules</t>
  </si>
  <si>
    <t>Boligrafos  Round Stic Amigo Negro</t>
  </si>
  <si>
    <t>Bombillo reflector clear Sylvania 120w 120v</t>
  </si>
  <si>
    <t>Bombillo Bajo Consumo Normal</t>
  </si>
  <si>
    <t>Bomba para Inodoro</t>
  </si>
  <si>
    <t xml:space="preserve">Brillo verde </t>
  </si>
  <si>
    <t>Brocha p/pintar #2</t>
  </si>
  <si>
    <t xml:space="preserve">Brocha No. 2 Pulgadas </t>
  </si>
  <si>
    <t xml:space="preserve">Brocha No. 3 Pulgadas </t>
  </si>
  <si>
    <t>Café santo Domingo</t>
  </si>
  <si>
    <t>Paq. 1 libra</t>
  </si>
  <si>
    <t>Café Santo Domingo</t>
  </si>
  <si>
    <t>Paq 1/ libra</t>
  </si>
  <si>
    <t>Paq 1/libra</t>
  </si>
  <si>
    <t>Crema en polvo para café (Cremola). En envases de 650 granos</t>
  </si>
  <si>
    <t>Caja de Carton Blanca ( Tipo Martin de 26 Libras Auto Armables). Para Archivo y correspondencias</t>
  </si>
  <si>
    <t>Tiza 12/1</t>
  </si>
  <si>
    <t>Camara Wed Bion Tech CM920 1080P FHD</t>
  </si>
  <si>
    <t>Camilla para Consultorio Medico DGBA</t>
  </si>
  <si>
    <t>Candados 50mm 110-50</t>
  </si>
  <si>
    <t>2.3.5.5.01</t>
  </si>
  <si>
    <t>Carpeta plastica para documentos 8 1/2 x 11 /  1/2</t>
  </si>
  <si>
    <t>Carpeta plastica para documentos de 3 Aros/2</t>
  </si>
  <si>
    <t>Cart Tinta Canon CL 210 Negro</t>
  </si>
  <si>
    <t>Cart Tinta Canon CL 211 color</t>
  </si>
  <si>
    <t>Cart Tinta Canon pg 41 color</t>
  </si>
  <si>
    <t>Cart. Canon 145 Negro</t>
  </si>
  <si>
    <t>Cart. Canon 146 color</t>
  </si>
  <si>
    <t>Cart. Canon 245 negro</t>
  </si>
  <si>
    <t>Cart. Canon 246 color</t>
  </si>
  <si>
    <t>Cart. Hp 954 Cyan</t>
  </si>
  <si>
    <t xml:space="preserve">Cart. Hp 954 Magenta </t>
  </si>
  <si>
    <t>Cart. Hp 954 Negro</t>
  </si>
  <si>
    <t>Cart. tinta  Hp 122 neg.</t>
  </si>
  <si>
    <t>Cart. tinta  Hp 22 color</t>
  </si>
  <si>
    <t>Cart. tinta  Hp 60 Color</t>
  </si>
  <si>
    <t>Cart. tinta  Hp 60 neg.</t>
  </si>
  <si>
    <t>Tinta Canon pg 40 negro</t>
  </si>
  <si>
    <t>Cart. tinta Hp 122 Color</t>
  </si>
  <si>
    <t>Cart. tinta HP 21 Negro</t>
  </si>
  <si>
    <t>Cart. Tinta HP 667-COLOR</t>
  </si>
  <si>
    <t xml:space="preserve">Cartuchos HP 122 color </t>
  </si>
  <si>
    <t>Cartuchos HP 667  negra</t>
  </si>
  <si>
    <t xml:space="preserve">Cartulinas blanca pliego  60 x 60 </t>
  </si>
  <si>
    <t>Calculadora Cientifica FX - 82MS</t>
  </si>
  <si>
    <t>CD en blanco c/estuche</t>
  </si>
  <si>
    <t>Cepillo de mano</t>
  </si>
  <si>
    <t xml:space="preserve">Cepillo p/inodoro </t>
  </si>
  <si>
    <t>Cera p/piso</t>
  </si>
  <si>
    <t xml:space="preserve">Cinta para maquina Sumadora </t>
  </si>
  <si>
    <t>Cinta adh. p/ empaque 1/2 papel</t>
  </si>
  <si>
    <t>Cinta adh. p/empaque ancha 3cm</t>
  </si>
  <si>
    <t>Cinta adhesiva doble cara  1/2 x 2.08  Yardas</t>
  </si>
  <si>
    <t>Cinta adhesiva para dispensador de 3/4</t>
  </si>
  <si>
    <t xml:space="preserve">Clip billetero  15 mm 1'' </t>
  </si>
  <si>
    <t xml:space="preserve">Clip billetero  19 mm 1/2'' </t>
  </si>
  <si>
    <t xml:space="preserve">Clip billetero  25 mm 1'' </t>
  </si>
  <si>
    <t xml:space="preserve">Clip billetero  51 mm 2'' </t>
  </si>
  <si>
    <t>Clip metal #1</t>
  </si>
  <si>
    <t>Caja 100/1</t>
  </si>
  <si>
    <t>Clip de metal # 2</t>
  </si>
  <si>
    <t>Cloro</t>
  </si>
  <si>
    <t>gls.</t>
  </si>
  <si>
    <t>Coupling 3"/ PVC gris SCH 80</t>
  </si>
  <si>
    <t>Coupling 4"/gris PVC SCH80</t>
  </si>
  <si>
    <t>Coupling PVC 1/2"</t>
  </si>
  <si>
    <t>Coupling PVC 2"</t>
  </si>
  <si>
    <t>Corrector de brochita  Weibo 20 ML</t>
  </si>
  <si>
    <t>Cubetas con exprimidor/ 36 lts</t>
  </si>
  <si>
    <t>Cubetas plastica / 15 lts</t>
  </si>
  <si>
    <t>Cucharas desechables /Paq. 25/1 (nov)</t>
  </si>
  <si>
    <t>Paq 25/1</t>
  </si>
  <si>
    <t>Deshumificador 40 tintas TGM</t>
  </si>
  <si>
    <t>Desgrasante</t>
  </si>
  <si>
    <t xml:space="preserve">Desinfectante Liquido Lister </t>
  </si>
  <si>
    <t xml:space="preserve">Detergente en polvo </t>
  </si>
  <si>
    <t>Libras</t>
  </si>
  <si>
    <t>Detergente en polvo King</t>
  </si>
  <si>
    <t xml:space="preserve">Saco 30/1  Lbs </t>
  </si>
  <si>
    <t>Dispensador para cinta adhesiva</t>
  </si>
  <si>
    <t>DVD en blanco C/estuche</t>
  </si>
  <si>
    <t xml:space="preserve">Duchas para Baños </t>
  </si>
  <si>
    <t xml:space="preserve">Escobas Plasticas con su Palo </t>
  </si>
  <si>
    <t xml:space="preserve">Escobas plasticas c/palo </t>
  </si>
  <si>
    <t>Escritorios  70 x 160 cm grande color roble con base de metal</t>
  </si>
  <si>
    <t>Escritorios  70 x 120 cm Mediano color roble con base de metal</t>
  </si>
  <si>
    <t>Esponja doble cara p/fregar</t>
  </si>
  <si>
    <t>Estanteria de cargas Ligeras de angulo ranurado 250 cm x 100 cm x 40 cm</t>
  </si>
  <si>
    <t>2.3.2.2.01</t>
  </si>
  <si>
    <t>Estopa</t>
  </si>
  <si>
    <t>Ega blanca 250 ML</t>
  </si>
  <si>
    <t>Felpa azul</t>
  </si>
  <si>
    <t>Fluxometro p/inodoro zurin</t>
  </si>
  <si>
    <t>Folder amar. 8 1/2x14</t>
  </si>
  <si>
    <t>Folder amarillo 8 1/2x11</t>
  </si>
  <si>
    <t xml:space="preserve">Folder de color Surtido  8 1/2 X 11 </t>
  </si>
  <si>
    <t>Folder Manila  8 1/2 X 11</t>
  </si>
  <si>
    <t xml:space="preserve">Caja 100/1 </t>
  </si>
  <si>
    <t>Folder Manila  8 1/2 X 13</t>
  </si>
  <si>
    <t xml:space="preserve">Folder Pendaflex 8/1x11 p/archivo </t>
  </si>
  <si>
    <t>Caja 25/1</t>
  </si>
  <si>
    <t>Fundas p/basura 30gls/100/1</t>
  </si>
  <si>
    <t>Paq 100/1</t>
  </si>
  <si>
    <t xml:space="preserve">Fundas p/basura 30gls/100/1 </t>
  </si>
  <si>
    <t>Fundas p/basura 55gls/100/1</t>
  </si>
  <si>
    <t xml:space="preserve">Gaffier Taper 30 Blanco </t>
  </si>
  <si>
    <t>Gaffier Taper 30 Gris</t>
  </si>
  <si>
    <t xml:space="preserve">Gaffier Taper 30 Negro </t>
  </si>
  <si>
    <t>Gancho p/archivo</t>
  </si>
  <si>
    <t>Caja</t>
  </si>
  <si>
    <t>23.9.1.01</t>
  </si>
  <si>
    <t>Goma p/barrer agua c/palo</t>
  </si>
  <si>
    <t>Goma p/borrar</t>
  </si>
  <si>
    <t>Goma para borrar (borrador)</t>
  </si>
  <si>
    <t>Grapadoras</t>
  </si>
  <si>
    <t>Grapas</t>
  </si>
  <si>
    <t>Caja 5000/1</t>
  </si>
  <si>
    <t xml:space="preserve">Grapas Standard </t>
  </si>
  <si>
    <t xml:space="preserve">Guantes de Gomas para Limpiar. </t>
  </si>
  <si>
    <t>Pares 2/1</t>
  </si>
  <si>
    <t>Guantes p/electricista/Vikingo</t>
  </si>
  <si>
    <t>Impresora multif. Epson L3250 ECOTANK</t>
  </si>
  <si>
    <t xml:space="preserve"> </t>
  </si>
  <si>
    <t>2.3.7.2.05</t>
  </si>
  <si>
    <t>Insecticida  400ML  grande</t>
  </si>
  <si>
    <t>Insecticida 400 ML grande</t>
  </si>
  <si>
    <t>Insecticida / 250ML Pequeño</t>
  </si>
  <si>
    <t>Insecticida / 250ML peq.</t>
  </si>
  <si>
    <t>Interruptor sencillo c/tapa bco. Leviton</t>
  </si>
  <si>
    <t>Jabón antibacterial Scott p/dispensador 13 oz 400ML</t>
  </si>
  <si>
    <t>Jabón de Cuaba</t>
  </si>
  <si>
    <t xml:space="preserve">Jabón en pasta p/fregar </t>
  </si>
  <si>
    <t>Jabón Lava platos</t>
  </si>
  <si>
    <t>Jabón liquido p/manos/Almendra</t>
  </si>
  <si>
    <t>Jabón liquido p/manos/Beau Clean</t>
  </si>
  <si>
    <t>Label p/folder  (stiker) 200/1</t>
  </si>
  <si>
    <t>Caja 200/1</t>
  </si>
  <si>
    <t xml:space="preserve">Llavines Doble Puño </t>
  </si>
  <si>
    <t>Laca natural</t>
  </si>
  <si>
    <t>Toalla 14x17</t>
  </si>
  <si>
    <t>Lampara LED Completa de Acren en Plafon</t>
  </si>
  <si>
    <t>Lapiz de carbón</t>
  </si>
  <si>
    <t>Lapiz de carbón FL amigo HB2 Imp</t>
  </si>
  <si>
    <t>Lentes de seguridad</t>
  </si>
  <si>
    <t>Libretas de dibujos 8.5 x 11</t>
  </si>
  <si>
    <t xml:space="preserve">Libretas rayada blancas  5x 8'' de 50 hojas </t>
  </si>
  <si>
    <t xml:space="preserve">Libretas rayada blancas  8 1/2  X 11 '' de 50 hojas </t>
  </si>
  <si>
    <t>Libro record Ofic Nota 500 Pág.</t>
  </si>
  <si>
    <t>Lija de agua #100/hoja 8 1/2x11</t>
  </si>
  <si>
    <t>Lija de agua/ #120/hoja 8 1/2x11</t>
  </si>
  <si>
    <t>Lija de agua/ #150/hoja 8 1/2x11</t>
  </si>
  <si>
    <t>Lija de agua/#220/hojas 8 1/2x11</t>
  </si>
  <si>
    <t>Lija p/disco</t>
  </si>
  <si>
    <t xml:space="preserve">Limpiador p/Ceramica </t>
  </si>
  <si>
    <t>Limpiador p/cristales</t>
  </si>
  <si>
    <t>Linterna recargable 11 Led truper</t>
  </si>
  <si>
    <t>Llave d/paso 2" pvc gris sch80 ( Llave de bola)</t>
  </si>
  <si>
    <t>Llave d/paso 3" pvc gris sch 80 (Llave de bola)</t>
  </si>
  <si>
    <t>Llave Monomando / Lavamanos con Manguera</t>
  </si>
  <si>
    <t>Llave p/fregadero</t>
  </si>
  <si>
    <t>LLave p/lavamano</t>
  </si>
  <si>
    <t>Llavin doble puño/bronceado</t>
  </si>
  <si>
    <t>Lona azul 12x14</t>
  </si>
  <si>
    <t>Masking Tape Verde</t>
  </si>
  <si>
    <t>Marcador permanente azul</t>
  </si>
  <si>
    <t xml:space="preserve">Marcador Azul para pizarras </t>
  </si>
  <si>
    <t>Masilla  Lanco p/paneles yeso (Sheet-Rock)  cubo 5 gls</t>
  </si>
  <si>
    <t>Mazeta 6 libs. m/madera</t>
  </si>
  <si>
    <t>Monitor BenQ BL2480 24 * IPS LED FHD 5ms VGA HDMI.</t>
  </si>
  <si>
    <t>Mouse Dell Optimo MS111 USB 5Y2RG</t>
  </si>
  <si>
    <t>Oleo Wilton#3 p/pintar</t>
  </si>
  <si>
    <t>Papel Bond  8 1/2 X14</t>
  </si>
  <si>
    <t>Resma 500/1</t>
  </si>
  <si>
    <t>Papel Bond 8 1/2 X11</t>
  </si>
  <si>
    <t xml:space="preserve">Resma 500/1 </t>
  </si>
  <si>
    <t>Papel bond 8 1/2x13 Paq. 500/1</t>
  </si>
  <si>
    <t>Papel de colores   8 1/2 X11</t>
  </si>
  <si>
    <t xml:space="preserve">Paq 250/1 </t>
  </si>
  <si>
    <t>Papel de Hilo  8 1/2 X 11</t>
  </si>
  <si>
    <t xml:space="preserve">Papel higienico Jumbo p/dispensador </t>
  </si>
  <si>
    <t>Rollo</t>
  </si>
  <si>
    <t>Fardo de papel higienico Jumbo</t>
  </si>
  <si>
    <t>Paq 12/1</t>
  </si>
  <si>
    <t>25/08/0/2023</t>
  </si>
  <si>
    <t xml:space="preserve">Papel para Sumadora  Electrica </t>
  </si>
  <si>
    <t>Papel toalla p/dispensador</t>
  </si>
  <si>
    <t>Pegamento Quillosa ( Anclaje Quimico Polyester Estireno)</t>
  </si>
  <si>
    <t>Perforadora  3 orificios 7 cm</t>
  </si>
  <si>
    <t xml:space="preserve">Perforadora de 2 hoyos </t>
  </si>
  <si>
    <t xml:space="preserve">Pizarra blancas 98 x 12 </t>
  </si>
  <si>
    <t>Pint. Acr. Azul cielo</t>
  </si>
  <si>
    <t>Pint. Acril. Naranja positivo</t>
  </si>
  <si>
    <t>Pint. Acrilica Paja</t>
  </si>
  <si>
    <t>Pint. Esmalte blanco 66 galon</t>
  </si>
  <si>
    <t>Pint. Semi gloss azul glacial</t>
  </si>
  <si>
    <t>Pintura Amarillo Paja</t>
  </si>
  <si>
    <t>Cubetas 5/1</t>
  </si>
  <si>
    <t xml:space="preserve">Pintura Crema 51 Acrilica </t>
  </si>
  <si>
    <t xml:space="preserve">Pintura Epoxica Ladrillo </t>
  </si>
  <si>
    <t>Pintura Blanco 00 Acrilica</t>
  </si>
  <si>
    <t>Pintura Epoxica gris 1/8 gls.</t>
  </si>
  <si>
    <t>Platos Plasticos Desechables # 9</t>
  </si>
  <si>
    <t xml:space="preserve">Paq 25/1 </t>
  </si>
  <si>
    <t>Platos desechables #6 , paq. 25/1 (nov)</t>
  </si>
  <si>
    <t>Platos Plasticos Desechables # 6</t>
  </si>
  <si>
    <t>Porta Clip</t>
  </si>
  <si>
    <t>Porta documentos vertical 81/2x11</t>
  </si>
  <si>
    <t>Porta Carnet Vertical Transparente</t>
  </si>
  <si>
    <t>Porta lapices plastico</t>
  </si>
  <si>
    <t>Porta Lapices de Metal Negro</t>
  </si>
  <si>
    <t>Post it Memo 2x3</t>
  </si>
  <si>
    <t>Post it 2x3</t>
  </si>
  <si>
    <t>Postit  Banderitas  Ofimak</t>
  </si>
  <si>
    <t>Paq 125/1</t>
  </si>
  <si>
    <t xml:space="preserve">Post it surtido 3x3 </t>
  </si>
  <si>
    <t xml:space="preserve">Post it surtido 3x5 </t>
  </si>
  <si>
    <t>Postit  Señalizadores color  surtido</t>
  </si>
  <si>
    <t>Protector  para documentos 8 1/2 x 11</t>
  </si>
  <si>
    <t>Reduccion PVC gris 1"x3/4</t>
  </si>
  <si>
    <t>Reduccion PVC gris 2"x1</t>
  </si>
  <si>
    <t>Reduccion PVC gris 3"x2</t>
  </si>
  <si>
    <t>Reducción PVC gris 4"x2</t>
  </si>
  <si>
    <t>Resaltadores Rosado</t>
  </si>
  <si>
    <t>Resaltadores amarillo</t>
  </si>
  <si>
    <t>Resaltador verde</t>
  </si>
  <si>
    <t>Resaltadores azul cielo</t>
  </si>
  <si>
    <t>Resaltadores orange</t>
  </si>
  <si>
    <t xml:space="preserve">Recogedor de Basura </t>
  </si>
  <si>
    <t>Retardador 20 oz</t>
  </si>
  <si>
    <t>Litros</t>
  </si>
  <si>
    <t>Saca grapas</t>
  </si>
  <si>
    <t>Saca punta plastico</t>
  </si>
  <si>
    <t>Saca puntas metal</t>
  </si>
  <si>
    <t>Scanner HP Scanjet  PRO 2000 S2
Sheet feed Scanner, Letter - 35</t>
  </si>
  <si>
    <t>Segueta roja 18Tx12"Nicholson</t>
  </si>
  <si>
    <t>Servilletas Jumbo</t>
  </si>
  <si>
    <t>Silicon en barra de 21 gramos</t>
  </si>
  <si>
    <t xml:space="preserve">Silicon de 250 ML </t>
  </si>
  <si>
    <t xml:space="preserve">Silicon  UHU  liquido/tubo 35 ml </t>
  </si>
  <si>
    <t>Silicon UHU en  barra 21 gr</t>
  </si>
  <si>
    <t xml:space="preserve">Sillas Plasticas </t>
  </si>
  <si>
    <t>Sillon Ejecutivo de tela negra, brazos ajustables,soporte lumbar ,reposa cabeza,ergonomico. Reforsado,Garantia 5 Anos.</t>
  </si>
  <si>
    <t>Sillon Semi Ejecutivo de tela negra,soporte lumbar ,reposa cabeza y  brazos ajustables</t>
  </si>
  <si>
    <t>Sobre Manila 8 1/2 X11</t>
  </si>
  <si>
    <t>Caja 500/1</t>
  </si>
  <si>
    <t>Sobre Manila 8 1/2 X14</t>
  </si>
  <si>
    <t xml:space="preserve">Caja 500/1 </t>
  </si>
  <si>
    <t>Sobres de Carta #10</t>
  </si>
  <si>
    <t xml:space="preserve">Caja  500/1 </t>
  </si>
  <si>
    <t>Sobres manila 3x7</t>
  </si>
  <si>
    <t>Sobres manila 8 1/2x13</t>
  </si>
  <si>
    <t>Sobres manila 9/2x12</t>
  </si>
  <si>
    <t>Suaper (Suaper)</t>
  </si>
  <si>
    <t>Swicth SF-300-24PP 24Port</t>
  </si>
  <si>
    <t xml:space="preserve">Swicth  Cisco Small Business SF300 - 24PP 24 PORT </t>
  </si>
  <si>
    <t>Talonario de requerimientos de Almacen</t>
  </si>
  <si>
    <t>Paq 50/1</t>
  </si>
  <si>
    <t>Tanque plastico p/ 55 gls.</t>
  </si>
  <si>
    <t>Tape ¾ verde p/señalización</t>
  </si>
  <si>
    <t>Tape de Goma  23</t>
  </si>
  <si>
    <t>Tape Ductape gris 2x50"</t>
  </si>
  <si>
    <t>Tarjetas PVC, de proximidades para impresión de Carnet (sistema zkteco)</t>
  </si>
  <si>
    <t>Te Frio (Latas  de 670 gramos )</t>
  </si>
  <si>
    <t xml:space="preserve">Te Verde </t>
  </si>
  <si>
    <t>Caja 20/1</t>
  </si>
  <si>
    <t>Teclado Dell USB Small Español</t>
  </si>
  <si>
    <t>Teclado Dell KB216 USB Español Black</t>
  </si>
  <si>
    <t>Teclados Casio CDP- S110BK 88 Teclas Negras</t>
  </si>
  <si>
    <t>Tenedores Desechables</t>
  </si>
  <si>
    <t>Tee de 4"</t>
  </si>
  <si>
    <t>Teflon/rollo 3/4</t>
  </si>
  <si>
    <t>Thinner</t>
  </si>
  <si>
    <t>Tiza Blanca Artesco Enceradas</t>
  </si>
  <si>
    <t>Tijeras 8''</t>
  </si>
  <si>
    <t xml:space="preserve">Tinta p/sello azul </t>
  </si>
  <si>
    <t xml:space="preserve">Tinta p/sello negra </t>
  </si>
  <si>
    <t xml:space="preserve">Tinta p/sello roja </t>
  </si>
  <si>
    <t xml:space="preserve">Tinta p/sello verde </t>
  </si>
  <si>
    <t>Toalla Microfibras 14 x 17 Amarilla</t>
  </si>
  <si>
    <t xml:space="preserve">Toalla microfibras 14x14 amarilla </t>
  </si>
  <si>
    <t>Tomacorriente doble c/tapa 15 A/125V Blanca</t>
  </si>
  <si>
    <t>Toner Canon 1119</t>
  </si>
  <si>
    <t xml:space="preserve">Toner Canon 128 </t>
  </si>
  <si>
    <t>Toner Canon 128  Black</t>
  </si>
  <si>
    <t>Toner Canon 137 Black</t>
  </si>
  <si>
    <t>Toner Canon GPRS IMAGE 54</t>
  </si>
  <si>
    <t xml:space="preserve">Tinta Epson 544 Amarillo </t>
  </si>
  <si>
    <t xml:space="preserve">Tinta Epson 544 Azul </t>
  </si>
  <si>
    <t xml:space="preserve">Tinta Epson 544 Magenta </t>
  </si>
  <si>
    <t xml:space="preserve">Tinta EPSON 544 negro </t>
  </si>
  <si>
    <t xml:space="preserve">Tinta EPSON L664 BK  NEGRO </t>
  </si>
  <si>
    <t xml:space="preserve">Tinta Epson L664 BK Blue </t>
  </si>
  <si>
    <t xml:space="preserve">TINTA Epson L664 BK MAGENTA </t>
  </si>
  <si>
    <t xml:space="preserve">Tinta  Epson L664 BK YELLOW </t>
  </si>
  <si>
    <t>Toner HP 105A Negro W105A</t>
  </si>
  <si>
    <t>Toner Hp 125 A azul</t>
  </si>
  <si>
    <t>Toner Hp 125 A Magenta</t>
  </si>
  <si>
    <t>Toner HP 125 A negro</t>
  </si>
  <si>
    <t xml:space="preserve">TONER HP 17  A </t>
  </si>
  <si>
    <t>Toner HP 17 A Negro</t>
  </si>
  <si>
    <t xml:space="preserve">TONER HP 201 A  NEGRO </t>
  </si>
  <si>
    <t xml:space="preserve">TONER HP 201 A  YELLOW </t>
  </si>
  <si>
    <t xml:space="preserve">Toner HP 201 Yellow </t>
  </si>
  <si>
    <t xml:space="preserve">TONER HP 201 A CYAN </t>
  </si>
  <si>
    <t xml:space="preserve">Toner HP 201 Cyan </t>
  </si>
  <si>
    <t xml:space="preserve">TONER HP 201 MAGENTA </t>
  </si>
  <si>
    <t xml:space="preserve">Toner HP 201 Magenta </t>
  </si>
  <si>
    <t>Toner Hp 202 Amarillo (Div. Legal)</t>
  </si>
  <si>
    <t xml:space="preserve">TONER HP 202 AZUL (Div. Legal) </t>
  </si>
  <si>
    <t>Toner HP 202 Black (Division Juridica)</t>
  </si>
  <si>
    <t xml:space="preserve">Toner HP 202 A Black </t>
  </si>
  <si>
    <t>TONER HP 202 MAGENTA (Div. Legal)</t>
  </si>
  <si>
    <t>Toner HP 30 A</t>
  </si>
  <si>
    <t>Toner HP 35 A</t>
  </si>
  <si>
    <t>Toner HP 36 A</t>
  </si>
  <si>
    <t>Toner HP 49 A</t>
  </si>
  <si>
    <t>Toner HP 55 A</t>
  </si>
  <si>
    <t xml:space="preserve">Toner HP 78 A </t>
  </si>
  <si>
    <t xml:space="preserve">Toner HP  Laser Jet 78 A </t>
  </si>
  <si>
    <t>Toner HP 80 A</t>
  </si>
  <si>
    <t xml:space="preserve">TONER HP 83 A </t>
  </si>
  <si>
    <t xml:space="preserve">Toner HP 85 A </t>
  </si>
  <si>
    <t>Toner HP 12 A</t>
  </si>
  <si>
    <t>Toma Corriente de 110 V</t>
  </si>
  <si>
    <t>Toner Sharp L100</t>
  </si>
  <si>
    <t>Toner Toshiba T-2021</t>
  </si>
  <si>
    <t>Toner Toshiba T-2505V</t>
  </si>
  <si>
    <t>Transformador electronico Osram 3FTP X32W 120V</t>
  </si>
  <si>
    <t>Tubo fluorescente Tipo U F36W caja 12/1</t>
  </si>
  <si>
    <t>Tubo Led T8 18 W</t>
  </si>
  <si>
    <t>Tuba Marca Mendini</t>
  </si>
  <si>
    <t>UPC APC Bx600 L-LM 600VA 330 WATYTS</t>
  </si>
  <si>
    <t>Vascogel p/aire 7/8</t>
  </si>
  <si>
    <t xml:space="preserve">Vasos plast. 10 oz paq. 50/1 </t>
  </si>
  <si>
    <t xml:space="preserve">Vasos Plastico de 7 Oz ( # 7) </t>
  </si>
  <si>
    <t>Vasos plast. 5 oz paq. 50/1</t>
  </si>
  <si>
    <t>paquete 50/1</t>
  </si>
  <si>
    <t xml:space="preserve">Vasos Plastico de 10 Oz ( # 10 ) </t>
  </si>
  <si>
    <t>Paq.  50/1</t>
  </si>
  <si>
    <t xml:space="preserve">Vasos Plastico de 5 Oz ( # 5 ) </t>
  </si>
  <si>
    <t>Zafacón  plast./negr p/oficina redondo</t>
  </si>
  <si>
    <t>Zafacón crema Rimax 12 litr./c/tapa Vaiven</t>
  </si>
  <si>
    <t>Zafacón Metal/negro p/oficina</t>
  </si>
  <si>
    <t xml:space="preserve">Zafacon para Oficina plastico, grande negro </t>
  </si>
  <si>
    <t>Lic. kirsy C. Moreta De La Rosa</t>
  </si>
  <si>
    <t>Enc. Almacén y Suministro, DGBA</t>
  </si>
  <si>
    <r>
      <t>Aires Acondicionados Portatiles , modelo</t>
    </r>
    <r>
      <rPr>
        <i/>
        <sz val="9"/>
        <color theme="1"/>
        <rFont val="Calibri"/>
        <family val="2"/>
        <scheme val="minor"/>
      </rPr>
      <t xml:space="preserve"> TEMI - 12CRN1</t>
    </r>
    <r>
      <rPr>
        <sz val="9"/>
        <color theme="1"/>
        <rFont val="Calibri"/>
        <family val="2"/>
        <scheme val="minor"/>
      </rPr>
      <t xml:space="preserve"> de 12 mil BTU , color blanco Marca </t>
    </r>
    <r>
      <rPr>
        <i/>
        <sz val="9"/>
        <color theme="1"/>
        <rFont val="Calibri"/>
        <family val="2"/>
        <scheme val="minor"/>
      </rPr>
      <t>Tecnomaster</t>
    </r>
  </si>
  <si>
    <t>UNID/ MEDIDA</t>
  </si>
  <si>
    <t xml:space="preserve">PRECIO UNIT. </t>
  </si>
  <si>
    <t xml:space="preserve">                                                                                                                                               DIRECCION GENERAL DE BELLAS ARTES</t>
  </si>
  <si>
    <t>Sillon Ejecutivo de tela negra, brazos ajustables,soporte lumbar ,reposa cabeza,ergonomico. Reforsado.</t>
  </si>
  <si>
    <t>Alfombras goma p Vehiculo Hyundai Staria 2023</t>
  </si>
  <si>
    <t>2.3.7.2.03</t>
  </si>
  <si>
    <t xml:space="preserve">TONER CF2 19A DRUM </t>
  </si>
  <si>
    <t>2.37.2.06</t>
  </si>
  <si>
    <t xml:space="preserve">Cartulinas de colores Surtido/ pliego  60 x 60 </t>
  </si>
  <si>
    <t xml:space="preserve">Toner HP  Laser Jet 85 A </t>
  </si>
  <si>
    <t>Tarjetero metal</t>
  </si>
  <si>
    <t>Bebederos c/botellon escondido American</t>
  </si>
  <si>
    <t>Caja/115 sobres</t>
  </si>
  <si>
    <t>Azucar de dieta bca. /caja 115 sobres</t>
  </si>
  <si>
    <t>Te caliente sabor variado /caja 10 sobres</t>
  </si>
  <si>
    <t>Caja 10/1</t>
  </si>
  <si>
    <t>Reloj de pared rosa metalico</t>
  </si>
  <si>
    <t>Dispensador p/papel/acero inoxid./negro</t>
  </si>
  <si>
    <t>Toalla blanca 15x27</t>
  </si>
  <si>
    <t>Zafaconvaiven 8LT inoxid. Neg.</t>
  </si>
  <si>
    <t>und.</t>
  </si>
  <si>
    <t>Paq. 4/1</t>
  </si>
  <si>
    <t>Marcador p/pizarra</t>
  </si>
  <si>
    <t>Pizarra blanca y corcho 60x90</t>
  </si>
  <si>
    <t>Und</t>
  </si>
  <si>
    <t>Cortinas decorativas blancas 132x229cm</t>
  </si>
  <si>
    <t>PAQ. 20/1</t>
  </si>
  <si>
    <t>und</t>
  </si>
  <si>
    <t>Barra palo p/cortina 1,6cm c/remate bola transp.</t>
  </si>
  <si>
    <t>Bolsa CSF Almac d/leche/ 60Z</t>
  </si>
  <si>
    <t xml:space="preserve">Bebederos LM-12/ American </t>
  </si>
  <si>
    <t>SILLON HVSF08A1-A RECLINA RTR DE 1 AZ</t>
  </si>
  <si>
    <t>FREEZER GPR40WH INT. ALUM. GOLD PREM.</t>
  </si>
  <si>
    <t>UND.</t>
  </si>
  <si>
    <t>BOCINA SPON200BK 15"JAMASOUND ALTA POTENCIA</t>
  </si>
  <si>
    <t>UND</t>
  </si>
  <si>
    <t>MEMORIA SCANDISK SDCZ50064GB USB FLA</t>
  </si>
  <si>
    <t>ABANICO A-W-18 DE PARED/ AMERICAN</t>
  </si>
  <si>
    <t>Impresora de carnet a dos caras mod. MC310</t>
  </si>
  <si>
    <t>Cinta a color YMCKO P/MC110/MC210/MC310 impresión carnet</t>
  </si>
  <si>
    <t>Cinta monocromatica negra p/mc310</t>
  </si>
  <si>
    <t>Yoyo redondo personalizado c/clip p/carnet</t>
  </si>
  <si>
    <t>Abanico tipo ventilador 16"/Midea</t>
  </si>
  <si>
    <t>Abanico KDK bade Tripode 16"B41UK</t>
  </si>
  <si>
    <t>Abanico pared Universal HW-16</t>
  </si>
  <si>
    <r>
      <t xml:space="preserve">                                                                                          </t>
    </r>
    <r>
      <rPr>
        <sz val="14"/>
        <color theme="1"/>
        <rFont val="Calibri"/>
        <family val="2"/>
        <scheme val="minor"/>
      </rPr>
      <t>Inventario bienes de consumo julio/ septiembre del 2023</t>
    </r>
  </si>
  <si>
    <t>Balance corte Digecog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</si>
</sst>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[$RD$-1C0A]* #,##0.00_);_([$RD$-1C0A]* \(#,##0.00\);_([$RD$-1C0A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sz val="9"/>
      <color theme="1"/>
      <name val="Times New Roman"/>
      <family val="1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color theme="1" tint="4.9989318521683403E-2"/>
      <name val="Times New Roman"/>
      <family val="1"/>
    </font>
    <font>
      <sz val="9"/>
      <color theme="1"/>
      <name val="Calibri"/>
      <scheme val="minor"/>
    </font>
    <font>
      <sz val="9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 applyProtection="0">
      <alignment horizontal="left" vertical="center" wrapText="1" indent="1"/>
    </xf>
    <xf numFmtId="0" fontId="3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7" fillId="3" borderId="2" xfId="2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44" fontId="7" fillId="3" borderId="2" xfId="0" applyNumberFormat="1" applyFont="1" applyFill="1" applyBorder="1" applyAlignment="1">
      <alignment horizontal="center" vertical="center"/>
    </xf>
    <xf numFmtId="14" fontId="8" fillId="3" borderId="1" xfId="2" applyNumberFormat="1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/>
    </xf>
    <xf numFmtId="0" fontId="9" fillId="3" borderId="2" xfId="4" applyFont="1" applyFill="1" applyBorder="1" applyAlignment="1" applyProtection="1">
      <alignment horizontal="center" vertical="center"/>
      <protection locked="0"/>
    </xf>
    <xf numFmtId="0" fontId="7" fillId="3" borderId="2" xfId="2" applyFont="1" applyFill="1" applyBorder="1" applyAlignment="1">
      <alignment horizontal="left" vertical="center" wrapText="1"/>
    </xf>
    <xf numFmtId="14" fontId="7" fillId="3" borderId="2" xfId="2" applyNumberFormat="1" applyFont="1" applyFill="1" applyBorder="1" applyAlignment="1">
      <alignment horizontal="center" vertical="center"/>
    </xf>
    <xf numFmtId="0" fontId="7" fillId="3" borderId="2" xfId="2" applyNumberFormat="1" applyFont="1" applyFill="1" applyBorder="1" applyAlignment="1">
      <alignment horizontal="center" vertical="center"/>
    </xf>
    <xf numFmtId="164" fontId="7" fillId="3" borderId="2" xfId="2" applyNumberFormat="1" applyFont="1" applyFill="1" applyBorder="1" applyAlignment="1">
      <alignment horizontal="center" vertical="center"/>
    </xf>
    <xf numFmtId="44" fontId="7" fillId="3" borderId="2" xfId="2" applyNumberFormat="1" applyFont="1" applyFill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/>
    </xf>
    <xf numFmtId="0" fontId="9" fillId="3" borderId="3" xfId="4" applyFont="1" applyFill="1" applyBorder="1" applyAlignment="1" applyProtection="1">
      <alignment horizontal="center" vertical="center"/>
      <protection locked="0"/>
    </xf>
    <xf numFmtId="0" fontId="7" fillId="3" borderId="0" xfId="2" applyFont="1" applyFill="1" applyBorder="1" applyAlignment="1">
      <alignment horizontal="center" vertical="center" wrapText="1"/>
    </xf>
    <xf numFmtId="16" fontId="7" fillId="3" borderId="2" xfId="2" applyNumberFormat="1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left" vertical="center"/>
    </xf>
    <xf numFmtId="0" fontId="7" fillId="3" borderId="4" xfId="2" applyFont="1" applyFill="1" applyBorder="1" applyAlignment="1">
      <alignment horizontal="left" vertical="center" wrapText="1"/>
    </xf>
    <xf numFmtId="0" fontId="7" fillId="3" borderId="4" xfId="2" applyFont="1" applyFill="1" applyBorder="1" applyAlignment="1">
      <alignment horizontal="center" vertical="center"/>
    </xf>
    <xf numFmtId="0" fontId="7" fillId="3" borderId="4" xfId="2" applyNumberFormat="1" applyFont="1" applyFill="1" applyBorder="1" applyAlignment="1">
      <alignment horizontal="center" vertical="center"/>
    </xf>
    <xf numFmtId="164" fontId="7" fillId="3" borderId="4" xfId="2" applyNumberFormat="1" applyFont="1" applyFill="1" applyBorder="1" applyAlignment="1">
      <alignment horizontal="center" vertical="center"/>
    </xf>
    <xf numFmtId="44" fontId="7" fillId="3" borderId="0" xfId="2" applyNumberFormat="1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 vertical="center"/>
    </xf>
    <xf numFmtId="44" fontId="7" fillId="3" borderId="1" xfId="2" applyNumberFormat="1" applyFont="1" applyFill="1" applyBorder="1" applyAlignment="1">
      <alignment horizontal="center" vertical="center"/>
    </xf>
    <xf numFmtId="44" fontId="7" fillId="3" borderId="0" xfId="0" applyNumberFormat="1" applyFont="1" applyFill="1" applyBorder="1" applyAlignment="1">
      <alignment horizontal="left" vertical="center" indent="1"/>
    </xf>
    <xf numFmtId="0" fontId="7" fillId="3" borderId="0" xfId="0" applyFont="1" applyFill="1" applyBorder="1"/>
    <xf numFmtId="0" fontId="7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  <xf numFmtId="44" fontId="7" fillId="3" borderId="0" xfId="0" applyNumberFormat="1" applyFont="1" applyFill="1" applyBorder="1" applyAlignment="1">
      <alignment horizontal="center"/>
    </xf>
    <xf numFmtId="14" fontId="11" fillId="3" borderId="0" xfId="0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13" fillId="3" borderId="0" xfId="0" applyFont="1" applyFill="1"/>
    <xf numFmtId="4" fontId="14" fillId="3" borderId="0" xfId="5" applyNumberFormat="1" applyFont="1" applyFill="1" applyBorder="1" applyProtection="1">
      <protection locked="0"/>
    </xf>
    <xf numFmtId="14" fontId="15" fillId="3" borderId="2" xfId="2" applyNumberFormat="1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17" fillId="3" borderId="6" xfId="0" applyFont="1" applyFill="1" applyBorder="1"/>
    <xf numFmtId="0" fontId="17" fillId="3" borderId="4" xfId="0" applyFont="1" applyFill="1" applyBorder="1" applyAlignment="1">
      <alignment horizontal="left"/>
    </xf>
    <xf numFmtId="0" fontId="17" fillId="3" borderId="4" xfId="0" applyFont="1" applyFill="1" applyBorder="1"/>
    <xf numFmtId="0" fontId="17" fillId="3" borderId="4" xfId="0" applyFont="1" applyFill="1" applyBorder="1" applyAlignment="1">
      <alignment horizontal="center"/>
    </xf>
    <xf numFmtId="0" fontId="17" fillId="3" borderId="4" xfId="0" applyNumberFormat="1" applyFont="1" applyFill="1" applyBorder="1" applyAlignment="1">
      <alignment horizontal="center"/>
    </xf>
    <xf numFmtId="44" fontId="17" fillId="3" borderId="4" xfId="0" applyNumberFormat="1" applyFont="1" applyFill="1" applyBorder="1" applyAlignment="1">
      <alignment horizontal="center"/>
    </xf>
    <xf numFmtId="44" fontId="17" fillId="3" borderId="0" xfId="0" applyNumberFormat="1" applyFont="1" applyFill="1" applyBorder="1" applyAlignment="1">
      <alignment horizontal="left" vertical="center" indent="1"/>
    </xf>
    <xf numFmtId="14" fontId="18" fillId="3" borderId="4" xfId="0" applyNumberFormat="1" applyFont="1" applyFill="1" applyBorder="1" applyAlignment="1">
      <alignment horizontal="center" vertical="center"/>
    </xf>
    <xf numFmtId="0" fontId="17" fillId="3" borderId="2" xfId="2" applyFont="1" applyFill="1" applyBorder="1" applyAlignment="1">
      <alignment horizontal="center" vertical="center" wrapText="1"/>
    </xf>
    <xf numFmtId="0" fontId="17" fillId="3" borderId="2" xfId="2" applyFont="1" applyFill="1" applyBorder="1" applyAlignment="1">
      <alignment horizontal="left" vertical="center" wrapText="1"/>
    </xf>
    <xf numFmtId="0" fontId="17" fillId="3" borderId="2" xfId="2" applyFont="1" applyFill="1" applyBorder="1" applyAlignment="1">
      <alignment horizontal="center" vertical="center"/>
    </xf>
    <xf numFmtId="0" fontId="17" fillId="3" borderId="2" xfId="2" applyNumberFormat="1" applyFont="1" applyFill="1" applyBorder="1" applyAlignment="1">
      <alignment horizontal="center" vertical="center"/>
    </xf>
    <xf numFmtId="164" fontId="17" fillId="3" borderId="2" xfId="2" applyNumberFormat="1" applyFont="1" applyFill="1" applyBorder="1" applyAlignment="1">
      <alignment horizontal="center" vertical="center"/>
    </xf>
    <xf numFmtId="14" fontId="7" fillId="2" borderId="1" xfId="2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</cellXfs>
  <cellStyles count="6">
    <cellStyle name="20% - Énfasis1" xfId="2" builtinId="30"/>
    <cellStyle name="Detalles de la tabla, izquierda" xfId="3"/>
    <cellStyle name="Millares" xfId="1" builtinId="3"/>
    <cellStyle name="Moneda 2" xfId="5"/>
    <cellStyle name="Normal" xfId="0" builtinId="0"/>
    <cellStyle name="Normal 2" xfId="4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9" formatCode="dd/mm/yyyy"/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(&quot;RD$&quot;* #,##0.00_);_(&quot;RD$&quot;* \(#,##0.00\);_(&quot;RD$&quot;* &quot;-&quot;??_);_(@_)"/>
      <fill>
        <patternFill patternType="solid">
          <fgColor indexed="64"/>
          <bgColor theme="0" tint="-0.14999847407452621"/>
        </patternFill>
      </fill>
      <alignment horizontal="lef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34" formatCode="_(&quot;RD$&quot;* #,##0.00_);_(&quot;RD$&quot;* \(#,##0.00\);_(&quot;RD$&quot;* &quot;-&quot;??_);_(@_)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numFmt numFmtId="0" formatCode="General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strike val="0"/>
        <outline val="0"/>
        <shadow val="0"/>
        <u val="none"/>
        <vertAlign val="baseline"/>
        <sz val="9"/>
      </font>
    </dxf>
    <dxf>
      <font>
        <strike val="0"/>
        <outline val="0"/>
        <shadow val="0"/>
        <u val="none"/>
        <vertAlign val="baseline"/>
        <sz val="9"/>
        <color theme="1"/>
      </font>
      <fill>
        <patternFill patternType="solid">
          <fgColor indexed="64"/>
          <bgColor theme="0" tint="-0.14999847407452621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9"/>
        <color theme="1"/>
      </font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left" vertical="center" textRotation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9"/>
        <color rgb="FFFF0000"/>
        <name val="Calibri"/>
        <scheme val="none"/>
      </font>
      <fill>
        <patternFill patternType="solid">
          <fgColor rgb="FF000000"/>
          <bgColor rgb="FFF2F2F2"/>
        </patternFill>
      </fill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rgb="FFFFFFFF"/>
        <name val="Calibri"/>
        <scheme val="none"/>
      </font>
      <fill>
        <patternFill patternType="solid">
          <fgColor rgb="FF000000"/>
          <bgColor rgb="FFF2F2F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 tint="4.9989318521683403E-2"/>
        <name val="Times New Roman"/>
        <scheme val="none"/>
      </font>
      <fill>
        <patternFill patternType="solid">
          <fgColor indexed="64"/>
          <bgColor rgb="FF0070C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b/>
        <i val="0"/>
      </font>
    </dxf>
    <dxf>
      <font>
        <b/>
        <i val="0"/>
      </font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1771650</xdr:colOff>
      <xdr:row>0</xdr:row>
      <xdr:rowOff>95250</xdr:rowOff>
    </xdr:from>
    <xdr:to>
      <xdr:col>2</xdr:col>
      <xdr:colOff>190500</xdr:colOff>
      <xdr:row>2</xdr:row>
      <xdr:rowOff>123825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922F38F4-BC69-46A8-BE5D-B724DF976D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8400" y="95250"/>
          <a:ext cx="600075" cy="476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3" displayName="Tabla13" ref="A6:K380" totalsRowCount="1" headerRowDxfId="25" dataDxfId="24" totalsRowDxfId="22" tableBorderDxfId="23">
  <autoFilter ref="A6:K379"/>
  <sortState ref="A5:J256">
    <sortCondition ref="B4:B256"/>
  </sortState>
  <tableColumns count="11">
    <tableColumn id="1" name="CÓDIGO  " dataDxfId="21" totalsRowDxfId="10" dataCellStyle="20% - Énfasis1"/>
    <tableColumn id="2" name="DESCRIPCIÓN ARTICULO" dataDxfId="20" totalsRowDxfId="9" dataCellStyle="20% - Énfasis1"/>
    <tableColumn id="18" name="UNID/ MEDIDA" dataDxfId="19" totalsRowDxfId="8" dataCellStyle="20% - Énfasis1"/>
    <tableColumn id="5" name="FECHA ENTRADA" dataDxfId="18" totalsRowDxfId="7"/>
    <tableColumn id="3" name="Balance corte Digecog" dataDxfId="17" totalsRowDxfId="6" dataCellStyle="20% - Énfasis1"/>
    <tableColumn id="4" name="ENTRADA" dataDxfId="16" totalsRowDxfId="5" dataCellStyle="20% - Énfasis1"/>
    <tableColumn id="12" name="SALIDA" dataDxfId="15" totalsRowDxfId="4" dataCellStyle="20% - Énfasis1"/>
    <tableColumn id="7" name="EXISTENCIA" dataDxfId="14" totalsRowDxfId="3" dataCellStyle="20% - Énfasis1">
      <calculatedColumnFormula>SUM(Tabla13[[#This Row],[Balance corte Digecog]:[SALIDA]])</calculatedColumnFormula>
    </tableColumn>
    <tableColumn id="20" name="PRECIO UNIT. " dataDxfId="13" totalsRowDxfId="2" dataCellStyle="20% - Énfasis1"/>
    <tableColumn id="6" name="IMPORTE" totalsRowFunction="custom" dataDxfId="12" totalsRowDxfId="1" dataCellStyle="20% - Énfasis1">
      <calculatedColumnFormula>+H7*I7</calculatedColumnFormula>
      <totalsRowFormula>SUM(J7:J379)</totalsRowFormula>
    </tableColumn>
    <tableColumn id="9" name="FECHA ACTUALIZACION" dataDxfId="11" totalsRowDxfId="0" dataCellStyle="20% - Énfasis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83"/>
  <sheetViews>
    <sheetView tabSelected="1" view="pageBreakPreview" zoomScale="120" zoomScaleNormal="80" zoomScaleSheetLayoutView="120" zoomScalePageLayoutView="70" workbookViewId="0">
      <selection activeCell="F9" sqref="F9"/>
    </sheetView>
  </sheetViews>
  <sheetFormatPr baseColWidth="10" defaultColWidth="8.88671875" defaultRowHeight="14.4" x14ac:dyDescent="0.3"/>
  <cols>
    <col min="1" max="1" width="9.77734375" customWidth="1"/>
    <col min="2" max="2" width="31.77734375" customWidth="1"/>
    <col min="3" max="3" width="13.44140625" customWidth="1"/>
    <col min="4" max="4" width="15.5546875" customWidth="1"/>
    <col min="5" max="5" width="13.5546875" customWidth="1"/>
    <col min="6" max="6" width="11.109375" customWidth="1"/>
    <col min="7" max="7" width="11.88671875" customWidth="1"/>
    <col min="8" max="8" width="12.88671875" customWidth="1"/>
    <col min="9" max="9" width="15.33203125" customWidth="1"/>
    <col min="10" max="10" width="14.77734375" customWidth="1"/>
    <col min="11" max="11" width="18.6640625" customWidth="1"/>
  </cols>
  <sheetData>
    <row r="2" spans="1:11" ht="21" x14ac:dyDescent="0.4">
      <c r="B2" s="49" t="s">
        <v>393</v>
      </c>
      <c r="C2" s="50"/>
      <c r="D2" s="51"/>
      <c r="E2" s="52"/>
      <c r="F2" s="52"/>
      <c r="G2" s="52"/>
    </row>
    <row r="3" spans="1:11" ht="18" x14ac:dyDescent="0.35">
      <c r="B3" t="s">
        <v>436</v>
      </c>
    </row>
    <row r="6" spans="1:11" x14ac:dyDescent="0.3">
      <c r="A6" s="45" t="s">
        <v>0</v>
      </c>
      <c r="B6" s="45" t="s">
        <v>1</v>
      </c>
      <c r="C6" s="46" t="s">
        <v>391</v>
      </c>
      <c r="D6" s="46" t="s">
        <v>2</v>
      </c>
      <c r="E6" s="46" t="s">
        <v>437</v>
      </c>
      <c r="F6" s="48" t="s">
        <v>3</v>
      </c>
      <c r="G6" s="48" t="s">
        <v>4</v>
      </c>
      <c r="H6" s="46" t="s">
        <v>5</v>
      </c>
      <c r="I6" s="46" t="s">
        <v>392</v>
      </c>
      <c r="J6" s="46" t="s">
        <v>6</v>
      </c>
      <c r="K6" s="47" t="s">
        <v>7</v>
      </c>
    </row>
    <row r="7" spans="1:11" x14ac:dyDescent="0.3">
      <c r="A7" s="1" t="s">
        <v>8</v>
      </c>
      <c r="B7" s="2" t="s">
        <v>9</v>
      </c>
      <c r="C7" s="3" t="s">
        <v>10</v>
      </c>
      <c r="D7" s="3"/>
      <c r="E7" s="3">
        <v>10</v>
      </c>
      <c r="F7" s="3">
        <v>0</v>
      </c>
      <c r="G7" s="3">
        <v>0</v>
      </c>
      <c r="H7" s="4">
        <f>SUM(Tabla13[[#This Row],[Balance corte Digecog]:[SALIDA]])</f>
        <v>10</v>
      </c>
      <c r="I7" s="5">
        <v>35</v>
      </c>
      <c r="J7" s="6">
        <f>35*10</f>
        <v>350</v>
      </c>
      <c r="K7" s="7">
        <v>45198</v>
      </c>
    </row>
    <row r="8" spans="1:11" ht="35.4" customHeight="1" x14ac:dyDescent="0.3">
      <c r="A8" s="8" t="s">
        <v>396</v>
      </c>
      <c r="B8" s="2" t="s">
        <v>11</v>
      </c>
      <c r="C8" s="3" t="s">
        <v>12</v>
      </c>
      <c r="D8" s="9">
        <v>45184</v>
      </c>
      <c r="E8" s="3">
        <v>0</v>
      </c>
      <c r="F8" s="3">
        <v>47</v>
      </c>
      <c r="G8" s="3">
        <v>-1</v>
      </c>
      <c r="H8" s="4">
        <f>SUM(Tabla13[[#This Row],[Balance corte Digecog]:[SALIDA]])</f>
        <v>46</v>
      </c>
      <c r="I8" s="5">
        <v>461.59</v>
      </c>
      <c r="J8" s="6">
        <f t="shared" ref="J8:J16" si="0">+H8*I8</f>
        <v>21233.14</v>
      </c>
      <c r="K8" s="7">
        <v>45198</v>
      </c>
    </row>
    <row r="9" spans="1:11" ht="36.6" customHeight="1" x14ac:dyDescent="0.3">
      <c r="A9" s="63"/>
      <c r="B9" s="62" t="s">
        <v>433</v>
      </c>
      <c r="C9" s="63" t="s">
        <v>418</v>
      </c>
      <c r="D9" s="9">
        <v>45169</v>
      </c>
      <c r="E9" s="63">
        <v>0</v>
      </c>
      <c r="F9" s="63">
        <v>19</v>
      </c>
      <c r="G9" s="63">
        <v>-19</v>
      </c>
      <c r="H9" s="64">
        <f>SUM(Tabla13[[#This Row],[Balance corte Digecog]:[SALIDA]])</f>
        <v>0</v>
      </c>
      <c r="I9" s="65">
        <v>3257.98</v>
      </c>
      <c r="J9" s="15">
        <f>+H9*I9</f>
        <v>0</v>
      </c>
      <c r="K9" s="66"/>
    </row>
    <row r="10" spans="1:11" ht="22.8" customHeight="1" x14ac:dyDescent="0.3">
      <c r="A10" s="63"/>
      <c r="B10" s="62" t="s">
        <v>434</v>
      </c>
      <c r="C10" s="63" t="s">
        <v>426</v>
      </c>
      <c r="D10" s="9">
        <v>45169</v>
      </c>
      <c r="E10" s="63">
        <v>0</v>
      </c>
      <c r="F10" s="63">
        <v>3</v>
      </c>
      <c r="G10" s="63">
        <v>-3</v>
      </c>
      <c r="H10" s="64">
        <f>SUM(Tabla13[[#This Row],[Balance corte Digecog]:[SALIDA]])</f>
        <v>0</v>
      </c>
      <c r="I10" s="65">
        <v>5841</v>
      </c>
      <c r="J10" s="15">
        <f>+H10*I10</f>
        <v>0</v>
      </c>
      <c r="K10" s="66"/>
    </row>
    <row r="11" spans="1:11" ht="22.8" customHeight="1" x14ac:dyDescent="0.3">
      <c r="A11" s="63"/>
      <c r="B11" s="62" t="s">
        <v>435</v>
      </c>
      <c r="C11" s="63" t="s">
        <v>415</v>
      </c>
      <c r="D11" s="9">
        <v>45169</v>
      </c>
      <c r="E11" s="63">
        <v>0</v>
      </c>
      <c r="F11" s="63">
        <v>1</v>
      </c>
      <c r="G11" s="63">
        <v>-1</v>
      </c>
      <c r="H11" s="64">
        <f>SUM(Tabla13[[#This Row],[Balance corte Digecog]:[SALIDA]])</f>
        <v>0</v>
      </c>
      <c r="I11" s="65">
        <v>2478</v>
      </c>
      <c r="J11" s="15">
        <f>+H11*I11</f>
        <v>0</v>
      </c>
      <c r="K11" s="66"/>
    </row>
    <row r="12" spans="1:11" ht="43.2" customHeight="1" x14ac:dyDescent="0.3">
      <c r="A12" s="10" t="s">
        <v>13</v>
      </c>
      <c r="B12" s="2" t="s">
        <v>14</v>
      </c>
      <c r="C12" s="3" t="s">
        <v>10</v>
      </c>
      <c r="D12" s="9">
        <v>45183</v>
      </c>
      <c r="E12" s="3">
        <v>0</v>
      </c>
      <c r="F12" s="3">
        <v>5</v>
      </c>
      <c r="G12" s="3">
        <v>-5</v>
      </c>
      <c r="H12" s="4">
        <f>SUM(Tabla13[[#This Row],[Balance corte Digecog]:[SALIDA]])</f>
        <v>0</v>
      </c>
      <c r="I12" s="5">
        <v>42000</v>
      </c>
      <c r="J12" s="6">
        <f t="shared" si="0"/>
        <v>0</v>
      </c>
      <c r="K12" s="7">
        <v>45198</v>
      </c>
    </row>
    <row r="13" spans="1:11" ht="34.200000000000003" customHeight="1" x14ac:dyDescent="0.3">
      <c r="A13" s="10" t="s">
        <v>13</v>
      </c>
      <c r="B13" s="2" t="s">
        <v>15</v>
      </c>
      <c r="C13" s="3" t="s">
        <v>10</v>
      </c>
      <c r="D13" s="9">
        <v>45183</v>
      </c>
      <c r="E13" s="3">
        <v>0</v>
      </c>
      <c r="F13" s="3">
        <v>4</v>
      </c>
      <c r="G13" s="3">
        <v>-4</v>
      </c>
      <c r="H13" s="4">
        <f>SUM(Tabla13[[#This Row],[Balance corte Digecog]:[SALIDA]])</f>
        <v>0</v>
      </c>
      <c r="I13" s="5">
        <v>26000</v>
      </c>
      <c r="J13" s="6">
        <f t="shared" si="0"/>
        <v>0</v>
      </c>
      <c r="K13" s="7">
        <v>45198</v>
      </c>
    </row>
    <row r="14" spans="1:11" ht="24" x14ac:dyDescent="0.3">
      <c r="A14" s="10" t="s">
        <v>13</v>
      </c>
      <c r="B14" s="2" t="s">
        <v>16</v>
      </c>
      <c r="C14" s="3" t="s">
        <v>10</v>
      </c>
      <c r="D14" s="9">
        <v>45183</v>
      </c>
      <c r="E14" s="3">
        <v>0</v>
      </c>
      <c r="F14" s="3">
        <v>1</v>
      </c>
      <c r="G14" s="3">
        <v>-1</v>
      </c>
      <c r="H14" s="4">
        <f>SUM(Tabla13[[#This Row],[Balance corte Digecog]:[SALIDA]])</f>
        <v>0</v>
      </c>
      <c r="I14" s="5">
        <v>90000</v>
      </c>
      <c r="J14" s="6">
        <f t="shared" si="0"/>
        <v>0</v>
      </c>
      <c r="K14" s="7">
        <v>45198</v>
      </c>
    </row>
    <row r="15" spans="1:11" ht="36" x14ac:dyDescent="0.3">
      <c r="A15" s="10" t="s">
        <v>13</v>
      </c>
      <c r="B15" s="2" t="s">
        <v>390</v>
      </c>
      <c r="C15" s="3" t="s">
        <v>10</v>
      </c>
      <c r="D15" s="9">
        <v>45183</v>
      </c>
      <c r="E15" s="3">
        <v>0</v>
      </c>
      <c r="F15" s="3">
        <v>6</v>
      </c>
      <c r="G15" s="3">
        <v>-6</v>
      </c>
      <c r="H15" s="4">
        <f>SUM(Tabla13[[#This Row],[Balance corte Digecog]:[SALIDA]])</f>
        <v>0</v>
      </c>
      <c r="I15" s="5">
        <v>40000</v>
      </c>
      <c r="J15" s="6">
        <f t="shared" si="0"/>
        <v>0</v>
      </c>
      <c r="K15" s="7">
        <v>45198</v>
      </c>
    </row>
    <row r="16" spans="1:11" ht="29.4" customHeight="1" x14ac:dyDescent="0.3">
      <c r="A16" s="8" t="s">
        <v>17</v>
      </c>
      <c r="B16" s="2" t="s">
        <v>18</v>
      </c>
      <c r="C16" s="3" t="s">
        <v>10</v>
      </c>
      <c r="D16" s="9">
        <v>45170</v>
      </c>
      <c r="E16" s="3">
        <v>0</v>
      </c>
      <c r="F16" s="3">
        <v>100</v>
      </c>
      <c r="G16" s="3">
        <v>-10</v>
      </c>
      <c r="H16" s="4">
        <f>SUM(Tabla13[[#This Row],[Balance corte Digecog]:[SALIDA]])</f>
        <v>90</v>
      </c>
      <c r="I16" s="5">
        <v>89.5</v>
      </c>
      <c r="J16" s="6">
        <f t="shared" si="0"/>
        <v>8055</v>
      </c>
      <c r="K16" s="7">
        <v>45198</v>
      </c>
    </row>
    <row r="17" spans="1:11" ht="30.6" customHeight="1" x14ac:dyDescent="0.3">
      <c r="A17" s="8" t="s">
        <v>17</v>
      </c>
      <c r="B17" s="11" t="s">
        <v>19</v>
      </c>
      <c r="C17" s="8" t="s">
        <v>10</v>
      </c>
      <c r="D17" s="12">
        <v>45177</v>
      </c>
      <c r="E17" s="8">
        <v>0</v>
      </c>
      <c r="F17" s="8">
        <v>139</v>
      </c>
      <c r="G17" s="8">
        <v>-43</v>
      </c>
      <c r="H17" s="13">
        <f>Tabla13[[#This Row],[ENTRADA]]+Tabla13[[#This Row],[SALIDA]]</f>
        <v>96</v>
      </c>
      <c r="I17" s="14">
        <v>35</v>
      </c>
      <c r="J17" s="15">
        <f>Tabla13[[#This Row],[PRECIO UNIT. ]]*Tabla13[[#This Row],[EXISTENCIA]]</f>
        <v>3360</v>
      </c>
      <c r="K17" s="7">
        <v>45198</v>
      </c>
    </row>
    <row r="18" spans="1:11" x14ac:dyDescent="0.3">
      <c r="A18" s="1" t="s">
        <v>20</v>
      </c>
      <c r="B18" s="11" t="s">
        <v>21</v>
      </c>
      <c r="C18" s="8" t="s">
        <v>22</v>
      </c>
      <c r="D18" s="8"/>
      <c r="E18" s="8">
        <v>2</v>
      </c>
      <c r="F18" s="8">
        <v>0</v>
      </c>
      <c r="G18" s="8">
        <v>0</v>
      </c>
      <c r="H18" s="13">
        <f>SUM(Tabla13[[#This Row],[Balance corte Digecog]:[SALIDA]])</f>
        <v>2</v>
      </c>
      <c r="I18" s="14">
        <v>1554</v>
      </c>
      <c r="J18" s="15">
        <f>1554*2</f>
        <v>3108</v>
      </c>
      <c r="K18" s="7">
        <v>45198</v>
      </c>
    </row>
    <row r="19" spans="1:11" ht="40.200000000000003" customHeight="1" x14ac:dyDescent="0.3">
      <c r="A19" s="8" t="s">
        <v>23</v>
      </c>
      <c r="B19" s="62" t="s">
        <v>404</v>
      </c>
      <c r="C19" s="63" t="s">
        <v>403</v>
      </c>
      <c r="D19" s="12">
        <v>45152</v>
      </c>
      <c r="E19" s="63">
        <v>0</v>
      </c>
      <c r="F19" s="63">
        <v>50</v>
      </c>
      <c r="G19" s="63">
        <v>0</v>
      </c>
      <c r="H19" s="64">
        <f>SUM(Tabla13[[#This Row],[Balance corte Digecog]:[SALIDA]])</f>
        <v>50</v>
      </c>
      <c r="I19" s="65">
        <v>194</v>
      </c>
      <c r="J19" s="15">
        <f>+H19*I19</f>
        <v>9700</v>
      </c>
      <c r="K19" s="66"/>
    </row>
    <row r="20" spans="1:11" ht="36.6" customHeight="1" x14ac:dyDescent="0.3">
      <c r="A20" s="8" t="s">
        <v>23</v>
      </c>
      <c r="B20" s="62" t="s">
        <v>405</v>
      </c>
      <c r="C20" s="63" t="s">
        <v>406</v>
      </c>
      <c r="D20" s="12">
        <v>45152</v>
      </c>
      <c r="E20" s="63">
        <v>0</v>
      </c>
      <c r="F20" s="63">
        <v>25</v>
      </c>
      <c r="G20" s="63"/>
      <c r="H20" s="64">
        <f>SUM(Tabla13[[#This Row],[Balance corte Digecog]:[SALIDA]])</f>
        <v>25</v>
      </c>
      <c r="I20" s="65">
        <v>117</v>
      </c>
      <c r="J20" s="15">
        <f>+H20*I20</f>
        <v>2925</v>
      </c>
      <c r="K20" s="66"/>
    </row>
    <row r="21" spans="1:11" ht="39.6" customHeight="1" x14ac:dyDescent="0.3">
      <c r="A21" s="8" t="s">
        <v>23</v>
      </c>
      <c r="B21" s="11" t="s">
        <v>24</v>
      </c>
      <c r="C21" s="8" t="s">
        <v>25</v>
      </c>
      <c r="D21" s="12">
        <v>45149</v>
      </c>
      <c r="E21" s="8">
        <v>0</v>
      </c>
      <c r="F21" s="8">
        <v>50</v>
      </c>
      <c r="G21" s="8">
        <v>-8</v>
      </c>
      <c r="H21" s="13">
        <f>SUM(Tabla13[[#This Row],[Balance corte Digecog]:[SALIDA]])</f>
        <v>42</v>
      </c>
      <c r="I21" s="14">
        <v>486</v>
      </c>
      <c r="J21" s="15">
        <f>+H21*I21</f>
        <v>20412</v>
      </c>
      <c r="K21" s="7">
        <v>45198</v>
      </c>
    </row>
    <row r="22" spans="1:11" ht="54.6" customHeight="1" x14ac:dyDescent="0.3">
      <c r="A22" s="8" t="s">
        <v>23</v>
      </c>
      <c r="B22" s="11" t="s">
        <v>26</v>
      </c>
      <c r="C22" s="8" t="s">
        <v>25</v>
      </c>
      <c r="D22" s="12">
        <v>45152</v>
      </c>
      <c r="E22" s="8">
        <v>12</v>
      </c>
      <c r="F22" s="8">
        <v>50</v>
      </c>
      <c r="G22" s="8">
        <v>-12</v>
      </c>
      <c r="H22" s="13">
        <f>SUM(Tabla13[[#This Row],[Balance corte Digecog]:[SALIDA]])</f>
        <v>50</v>
      </c>
      <c r="I22" s="14">
        <v>514.14</v>
      </c>
      <c r="J22" s="15">
        <f>Tabla13[[#This Row],[EXISTENCIA]]*Tabla13[[#This Row],[PRECIO UNIT. ]]</f>
        <v>25707</v>
      </c>
      <c r="K22" s="7">
        <v>45198</v>
      </c>
    </row>
    <row r="23" spans="1:11" ht="36.6" customHeight="1" x14ac:dyDescent="0.3">
      <c r="A23" s="8" t="s">
        <v>36</v>
      </c>
      <c r="B23" s="11" t="s">
        <v>27</v>
      </c>
      <c r="C23" s="8" t="s">
        <v>10</v>
      </c>
      <c r="D23" s="44">
        <v>45177</v>
      </c>
      <c r="E23" s="8">
        <v>0</v>
      </c>
      <c r="F23" s="8">
        <v>6</v>
      </c>
      <c r="G23" s="8">
        <v>-6</v>
      </c>
      <c r="H23" s="13">
        <f>SUM(Tabla13[[#This Row],[Balance corte Digecog]:[SALIDA]])</f>
        <v>0</v>
      </c>
      <c r="I23" s="14">
        <v>5050</v>
      </c>
      <c r="J23" s="15">
        <f>+H23*I23</f>
        <v>0</v>
      </c>
      <c r="K23" s="7">
        <v>45198</v>
      </c>
    </row>
    <row r="24" spans="1:11" ht="24" x14ac:dyDescent="0.3">
      <c r="A24" s="8" t="s">
        <v>36</v>
      </c>
      <c r="B24" s="11" t="s">
        <v>395</v>
      </c>
      <c r="C24" s="8" t="s">
        <v>28</v>
      </c>
      <c r="D24" s="12">
        <v>45162</v>
      </c>
      <c r="E24" s="8">
        <v>0</v>
      </c>
      <c r="F24" s="8">
        <v>1</v>
      </c>
      <c r="G24" s="8">
        <v>-1</v>
      </c>
      <c r="H24" s="13">
        <f>SUM(Tabla13[[#This Row],[Balance corte Digecog]:[SALIDA]])</f>
        <v>0</v>
      </c>
      <c r="I24" s="14">
        <v>13400</v>
      </c>
      <c r="J24" s="15">
        <f>+H24*I24</f>
        <v>0</v>
      </c>
      <c r="K24" s="7">
        <v>45198</v>
      </c>
    </row>
    <row r="25" spans="1:11" x14ac:dyDescent="0.3">
      <c r="A25" s="1" t="s">
        <v>29</v>
      </c>
      <c r="B25" s="11" t="s">
        <v>30</v>
      </c>
      <c r="C25" s="8" t="s">
        <v>10</v>
      </c>
      <c r="D25" s="8"/>
      <c r="E25" s="8">
        <v>43</v>
      </c>
      <c r="F25" s="8">
        <v>0</v>
      </c>
      <c r="G25" s="8">
        <v>-4</v>
      </c>
      <c r="H25" s="13">
        <f>SUM(Tabla13[[#This Row],[Balance corte Digecog]:[SALIDA]])</f>
        <v>39</v>
      </c>
      <c r="I25" s="14">
        <v>497.56</v>
      </c>
      <c r="J25" s="15">
        <f>43*497.56</f>
        <v>21395.08</v>
      </c>
      <c r="K25" s="7">
        <v>45198</v>
      </c>
    </row>
    <row r="26" spans="1:11" ht="24" x14ac:dyDescent="0.3">
      <c r="A26" s="1" t="s">
        <v>132</v>
      </c>
      <c r="B26" s="11" t="s">
        <v>31</v>
      </c>
      <c r="C26" s="8" t="s">
        <v>10</v>
      </c>
      <c r="D26" s="12">
        <v>45166</v>
      </c>
      <c r="E26" s="8">
        <v>0</v>
      </c>
      <c r="F26" s="8">
        <v>5</v>
      </c>
      <c r="G26" s="8">
        <v>-5</v>
      </c>
      <c r="H26" s="13">
        <f>SUM(Tabla13[[#This Row],[Balance corte Digecog]:[SALIDA]])</f>
        <v>0</v>
      </c>
      <c r="I26" s="14">
        <v>1800</v>
      </c>
      <c r="J26" s="15">
        <f>+H26*I26</f>
        <v>0</v>
      </c>
      <c r="K26" s="7">
        <v>45198</v>
      </c>
    </row>
    <row r="27" spans="1:11" ht="33.6" customHeight="1" x14ac:dyDescent="0.3">
      <c r="A27" s="1" t="s">
        <v>132</v>
      </c>
      <c r="B27" s="11" t="s">
        <v>32</v>
      </c>
      <c r="C27" s="8" t="s">
        <v>10</v>
      </c>
      <c r="D27" s="12">
        <v>45166</v>
      </c>
      <c r="E27" s="8">
        <v>0</v>
      </c>
      <c r="F27" s="8">
        <v>5</v>
      </c>
      <c r="G27" s="8">
        <v>-5</v>
      </c>
      <c r="H27" s="13">
        <f>SUM(Tabla13[[#This Row],[Balance corte Digecog]:[SALIDA]])</f>
        <v>0</v>
      </c>
      <c r="I27" s="14">
        <v>5200</v>
      </c>
      <c r="J27" s="15">
        <f>+H27*I27</f>
        <v>0</v>
      </c>
      <c r="K27" s="7">
        <v>45198</v>
      </c>
    </row>
    <row r="28" spans="1:11" ht="24" x14ac:dyDescent="0.3">
      <c r="A28" s="1" t="s">
        <v>132</v>
      </c>
      <c r="B28" s="11" t="s">
        <v>33</v>
      </c>
      <c r="C28" s="8" t="s">
        <v>10</v>
      </c>
      <c r="D28" s="12">
        <v>45166</v>
      </c>
      <c r="E28" s="8">
        <v>0</v>
      </c>
      <c r="F28" s="8">
        <v>2</v>
      </c>
      <c r="G28" s="8">
        <v>-2</v>
      </c>
      <c r="H28" s="13">
        <f>SUM(Tabla13[[#This Row],[Balance corte Digecog]:[SALIDA]])</f>
        <v>0</v>
      </c>
      <c r="I28" s="14">
        <v>5200</v>
      </c>
      <c r="J28" s="15">
        <f>+H28*I28</f>
        <v>0</v>
      </c>
      <c r="K28" s="7">
        <v>45198</v>
      </c>
    </row>
    <row r="29" spans="1:11" x14ac:dyDescent="0.3">
      <c r="A29" s="1" t="s">
        <v>29</v>
      </c>
      <c r="B29" s="11" t="s">
        <v>34</v>
      </c>
      <c r="C29" s="8" t="s">
        <v>35</v>
      </c>
      <c r="D29" s="12">
        <v>45118</v>
      </c>
      <c r="E29" s="8">
        <v>31</v>
      </c>
      <c r="F29" s="8">
        <v>50</v>
      </c>
      <c r="G29" s="8">
        <v>0</v>
      </c>
      <c r="H29" s="13">
        <f>SUM(Tabla13[[#This Row],[Balance corte Digecog]:[SALIDA]])</f>
        <v>81</v>
      </c>
      <c r="I29" s="14">
        <v>21.19</v>
      </c>
      <c r="J29" s="15">
        <f>Tabla13[[#This Row],[PRECIO UNIT. ]]*Tabla13[[#This Row],[EXISTENCIA]]</f>
        <v>1716.39</v>
      </c>
      <c r="K29" s="7">
        <v>45198</v>
      </c>
    </row>
    <row r="30" spans="1:11" ht="28.2" customHeight="1" x14ac:dyDescent="0.3">
      <c r="A30" s="1" t="s">
        <v>36</v>
      </c>
      <c r="B30" s="11" t="s">
        <v>37</v>
      </c>
      <c r="C30" s="8" t="s">
        <v>10</v>
      </c>
      <c r="D30" s="8"/>
      <c r="E30" s="8">
        <v>2</v>
      </c>
      <c r="F30" s="8">
        <v>0</v>
      </c>
      <c r="G30" s="8">
        <v>0</v>
      </c>
      <c r="H30" s="13">
        <f>SUM(Tabla13[[#This Row],[Balance corte Digecog]:[SALIDA]])</f>
        <v>2</v>
      </c>
      <c r="I30" s="14">
        <v>165.26</v>
      </c>
      <c r="J30" s="15">
        <f>2*165.26</f>
        <v>330.52</v>
      </c>
      <c r="K30" s="7">
        <v>45198</v>
      </c>
    </row>
    <row r="31" spans="1:11" ht="24.6" customHeight="1" x14ac:dyDescent="0.3">
      <c r="A31" s="10" t="s">
        <v>13</v>
      </c>
      <c r="B31" s="11" t="s">
        <v>38</v>
      </c>
      <c r="C31" s="8" t="s">
        <v>10</v>
      </c>
      <c r="D31" s="12">
        <v>45083</v>
      </c>
      <c r="E31" s="8">
        <v>0</v>
      </c>
      <c r="F31" s="8">
        <v>48</v>
      </c>
      <c r="G31" s="8">
        <v>-48</v>
      </c>
      <c r="H31" s="13">
        <f>SUM(Tabla13[[#This Row],[Balance corte Digecog]:[SALIDA]])</f>
        <v>0</v>
      </c>
      <c r="I31" s="14">
        <v>840.16</v>
      </c>
      <c r="J31" s="15">
        <v>0</v>
      </c>
      <c r="K31" s="7">
        <v>45198</v>
      </c>
    </row>
    <row r="32" spans="1:11" ht="21.6" customHeight="1" x14ac:dyDescent="0.3">
      <c r="A32" s="1" t="s">
        <v>36</v>
      </c>
      <c r="B32" s="11" t="s">
        <v>39</v>
      </c>
      <c r="C32" s="8" t="s">
        <v>10</v>
      </c>
      <c r="D32" s="8"/>
      <c r="E32" s="8">
        <v>17</v>
      </c>
      <c r="F32" s="8">
        <v>0</v>
      </c>
      <c r="G32" s="8">
        <v>0</v>
      </c>
      <c r="H32" s="13">
        <f>SUM(Tabla13[[#This Row],[Balance corte Digecog]:[SALIDA]])</f>
        <v>17</v>
      </c>
      <c r="I32" s="14">
        <v>533</v>
      </c>
      <c r="J32" s="15">
        <f>17*533</f>
        <v>9061</v>
      </c>
      <c r="K32" s="7">
        <v>45198</v>
      </c>
    </row>
    <row r="33" spans="1:11" ht="30.6" customHeight="1" x14ac:dyDescent="0.3">
      <c r="A33" s="61"/>
      <c r="B33" s="62" t="s">
        <v>402</v>
      </c>
      <c r="C33" s="63" t="s">
        <v>10</v>
      </c>
      <c r="D33" s="12">
        <v>45167</v>
      </c>
      <c r="E33" s="63">
        <v>0</v>
      </c>
      <c r="F33" s="63">
        <v>11</v>
      </c>
      <c r="G33" s="63">
        <v>-11</v>
      </c>
      <c r="H33" s="64">
        <f>SUM(Tabla13[[#This Row],[Balance corte Digecog]:[SALIDA]])</f>
        <v>0</v>
      </c>
      <c r="I33" s="65">
        <v>12808.81</v>
      </c>
      <c r="J33" s="15">
        <f>+H33*I33</f>
        <v>0</v>
      </c>
      <c r="K33" s="66">
        <v>45198</v>
      </c>
    </row>
    <row r="34" spans="1:11" ht="36.6" customHeight="1" x14ac:dyDescent="0.3">
      <c r="A34" s="1"/>
      <c r="B34" s="11" t="s">
        <v>40</v>
      </c>
      <c r="C34" s="8" t="s">
        <v>10</v>
      </c>
      <c r="D34" s="12">
        <v>45118</v>
      </c>
      <c r="E34" s="8">
        <v>0</v>
      </c>
      <c r="F34" s="8">
        <v>150</v>
      </c>
      <c r="G34" s="8">
        <v>-2</v>
      </c>
      <c r="H34" s="13">
        <f>SUM(Tabla13[[#This Row],[Balance corte Digecog]:[SALIDA]])</f>
        <v>148</v>
      </c>
      <c r="I34" s="14">
        <v>33.75</v>
      </c>
      <c r="J34" s="15">
        <f>+H34*I34</f>
        <v>4995</v>
      </c>
      <c r="K34" s="7">
        <v>45198</v>
      </c>
    </row>
    <row r="35" spans="1:11" ht="26.4" customHeight="1" x14ac:dyDescent="0.3">
      <c r="A35" s="1" t="s">
        <v>29</v>
      </c>
      <c r="B35" s="11" t="s">
        <v>41</v>
      </c>
      <c r="C35" s="8" t="s">
        <v>10</v>
      </c>
      <c r="D35" s="8"/>
      <c r="E35" s="8">
        <v>312</v>
      </c>
      <c r="F35" s="8">
        <v>0</v>
      </c>
      <c r="G35" s="8">
        <v>-5</v>
      </c>
      <c r="H35" s="13">
        <f>SUM(Tabla13[[#This Row],[Balance corte Digecog]:[SALIDA]])</f>
        <v>307</v>
      </c>
      <c r="I35" s="14">
        <v>6</v>
      </c>
      <c r="J35" s="15">
        <f>312*6</f>
        <v>1872</v>
      </c>
      <c r="K35" s="7">
        <v>45198</v>
      </c>
    </row>
    <row r="36" spans="1:11" ht="22.8" customHeight="1" x14ac:dyDescent="0.3">
      <c r="A36" s="1" t="s">
        <v>29</v>
      </c>
      <c r="B36" s="11" t="s">
        <v>42</v>
      </c>
      <c r="C36" s="8" t="s">
        <v>12</v>
      </c>
      <c r="D36" s="8"/>
      <c r="E36" s="8">
        <v>123</v>
      </c>
      <c r="F36" s="8">
        <v>0</v>
      </c>
      <c r="G36" s="8">
        <v>0</v>
      </c>
      <c r="H36" s="13">
        <f>SUM(Tabla13[[#This Row],[Balance corte Digecog]:[SALIDA]])</f>
        <v>123</v>
      </c>
      <c r="I36" s="14">
        <v>89.7</v>
      </c>
      <c r="J36" s="15">
        <f>123*89.7</f>
        <v>11033.1</v>
      </c>
      <c r="K36" s="7">
        <v>45198</v>
      </c>
    </row>
    <row r="37" spans="1:11" ht="26.4" customHeight="1" x14ac:dyDescent="0.3">
      <c r="A37" s="1" t="s">
        <v>29</v>
      </c>
      <c r="B37" s="11" t="s">
        <v>43</v>
      </c>
      <c r="C37" s="8" t="s">
        <v>12</v>
      </c>
      <c r="D37" s="8"/>
      <c r="E37" s="8">
        <v>15</v>
      </c>
      <c r="F37" s="8">
        <v>0</v>
      </c>
      <c r="G37" s="8">
        <v>-15</v>
      </c>
      <c r="H37" s="13">
        <f>SUM(Tabla13[[#This Row],[Balance corte Digecog]:[SALIDA]])</f>
        <v>0</v>
      </c>
      <c r="I37" s="14">
        <v>89.7</v>
      </c>
      <c r="J37" s="15">
        <f>15*89.7</f>
        <v>1345.5</v>
      </c>
      <c r="K37" s="7">
        <v>45198</v>
      </c>
    </row>
    <row r="38" spans="1:11" x14ac:dyDescent="0.3">
      <c r="A38" s="1" t="s">
        <v>29</v>
      </c>
      <c r="B38" s="11" t="s">
        <v>44</v>
      </c>
      <c r="C38" s="8" t="s">
        <v>12</v>
      </c>
      <c r="D38" s="12">
        <v>45127</v>
      </c>
      <c r="E38" s="8">
        <v>0</v>
      </c>
      <c r="F38" s="8">
        <v>50</v>
      </c>
      <c r="G38" s="8">
        <v>0</v>
      </c>
      <c r="H38" s="13">
        <f>SUM(Tabla13[[#This Row],[Balance corte Digecog]:[SALIDA]])</f>
        <v>50</v>
      </c>
      <c r="I38" s="14">
        <v>58.2</v>
      </c>
      <c r="J38" s="15">
        <f>+H38*I38</f>
        <v>2910</v>
      </c>
      <c r="K38" s="7">
        <v>45198</v>
      </c>
    </row>
    <row r="39" spans="1:11" x14ac:dyDescent="0.3">
      <c r="A39" s="1" t="s">
        <v>29</v>
      </c>
      <c r="B39" s="11" t="s">
        <v>45</v>
      </c>
      <c r="C39" s="8" t="s">
        <v>12</v>
      </c>
      <c r="D39" s="12">
        <v>45127</v>
      </c>
      <c r="E39" s="8">
        <v>0</v>
      </c>
      <c r="F39" s="8">
        <v>30</v>
      </c>
      <c r="G39" s="8">
        <v>-2</v>
      </c>
      <c r="H39" s="13">
        <f>SUM(Tabla13[[#This Row],[Balance corte Digecog]:[SALIDA]])</f>
        <v>28</v>
      </c>
      <c r="I39" s="14">
        <v>58.2</v>
      </c>
      <c r="J39" s="15">
        <f>+H39*I39</f>
        <v>1629.6000000000001</v>
      </c>
      <c r="K39" s="7">
        <v>45198</v>
      </c>
    </row>
    <row r="40" spans="1:11" x14ac:dyDescent="0.3">
      <c r="A40" s="1" t="s">
        <v>13</v>
      </c>
      <c r="B40" s="11" t="s">
        <v>46</v>
      </c>
      <c r="C40" s="8" t="s">
        <v>10</v>
      </c>
      <c r="D40" s="8"/>
      <c r="E40" s="8">
        <v>0</v>
      </c>
      <c r="F40" s="8">
        <v>10</v>
      </c>
      <c r="G40" s="8">
        <v>0</v>
      </c>
      <c r="H40" s="13">
        <f>SUM(Tabla13[[#This Row],[Balance corte Digecog]:[SALIDA]])</f>
        <v>10</v>
      </c>
      <c r="I40" s="14">
        <v>1600</v>
      </c>
      <c r="J40" s="15">
        <f>+H40*I40</f>
        <v>16000</v>
      </c>
      <c r="K40" s="7">
        <v>45198</v>
      </c>
    </row>
    <row r="41" spans="1:11" x14ac:dyDescent="0.3">
      <c r="A41" s="1" t="s">
        <v>13</v>
      </c>
      <c r="B41" s="11" t="s">
        <v>47</v>
      </c>
      <c r="C41" s="8" t="s">
        <v>10</v>
      </c>
      <c r="D41" s="12">
        <v>45184</v>
      </c>
      <c r="E41" s="8">
        <v>0</v>
      </c>
      <c r="F41" s="8">
        <v>20</v>
      </c>
      <c r="G41" s="8">
        <v>-20</v>
      </c>
      <c r="H41" s="13">
        <f>SUM(Tabla13[[#This Row],[Balance corte Digecog]:[SALIDA]])</f>
        <v>0</v>
      </c>
      <c r="I41" s="14">
        <v>210</v>
      </c>
      <c r="J41" s="15">
        <f>+H41*I41</f>
        <v>0</v>
      </c>
      <c r="K41" s="7">
        <v>45198</v>
      </c>
    </row>
    <row r="42" spans="1:11" x14ac:dyDescent="0.3">
      <c r="A42" s="8" t="s">
        <v>17</v>
      </c>
      <c r="B42" s="11" t="s">
        <v>48</v>
      </c>
      <c r="C42" s="8" t="s">
        <v>10</v>
      </c>
      <c r="D42" s="12">
        <v>45184</v>
      </c>
      <c r="E42" s="8">
        <v>0</v>
      </c>
      <c r="F42" s="8">
        <v>50</v>
      </c>
      <c r="G42" s="8">
        <v>0</v>
      </c>
      <c r="H42" s="13">
        <f>SUM(Tabla13[[#This Row],[Balance corte Digecog]:[SALIDA]])</f>
        <v>50</v>
      </c>
      <c r="I42" s="14">
        <v>92</v>
      </c>
      <c r="J42" s="15">
        <f>+H42*I42</f>
        <v>4600</v>
      </c>
      <c r="K42" s="7">
        <v>45198</v>
      </c>
    </row>
    <row r="43" spans="1:11" x14ac:dyDescent="0.3">
      <c r="A43" s="8" t="s">
        <v>17</v>
      </c>
      <c r="B43" s="11" t="s">
        <v>49</v>
      </c>
      <c r="C43" s="8" t="s">
        <v>10</v>
      </c>
      <c r="D43" s="8"/>
      <c r="E43" s="8">
        <v>55</v>
      </c>
      <c r="F43" s="8">
        <v>0</v>
      </c>
      <c r="G43" s="8">
        <v>-45</v>
      </c>
      <c r="H43" s="13">
        <f>SUM(Tabla13[[#This Row],[Balance corte Digecog]:[SALIDA]])</f>
        <v>10</v>
      </c>
      <c r="I43" s="14">
        <v>5.63</v>
      </c>
      <c r="J43" s="15">
        <f>5.63*55</f>
        <v>309.64999999999998</v>
      </c>
      <c r="K43" s="7">
        <v>45198</v>
      </c>
    </row>
    <row r="44" spans="1:11" ht="41.4" customHeight="1" x14ac:dyDescent="0.3">
      <c r="A44" s="1" t="s">
        <v>36</v>
      </c>
      <c r="B44" s="11" t="s">
        <v>50</v>
      </c>
      <c r="C44" s="8" t="s">
        <v>10</v>
      </c>
      <c r="D44" s="8"/>
      <c r="E44" s="8">
        <v>4</v>
      </c>
      <c r="F44" s="8">
        <v>0</v>
      </c>
      <c r="G44" s="8">
        <v>0</v>
      </c>
      <c r="H44" s="13">
        <f>SUM(Tabla13[[#This Row],[Balance corte Digecog]:[SALIDA]])</f>
        <v>4</v>
      </c>
      <c r="I44" s="14">
        <v>99.17</v>
      </c>
      <c r="J44" s="15">
        <f>99.17*4</f>
        <v>396.68</v>
      </c>
      <c r="K44" s="7">
        <v>45198</v>
      </c>
    </row>
    <row r="45" spans="1:11" ht="49.8" customHeight="1" x14ac:dyDescent="0.3">
      <c r="A45" s="1" t="s">
        <v>36</v>
      </c>
      <c r="B45" s="11" t="s">
        <v>51</v>
      </c>
      <c r="C45" s="8" t="s">
        <v>10</v>
      </c>
      <c r="D45" s="12">
        <v>45184</v>
      </c>
      <c r="E45" s="8">
        <v>0</v>
      </c>
      <c r="F45" s="8">
        <v>2</v>
      </c>
      <c r="G45" s="8">
        <v>-2</v>
      </c>
      <c r="H45" s="13">
        <f>SUM(Tabla13[[#This Row],[Balance corte Digecog]:[SALIDA]])</f>
        <v>0</v>
      </c>
      <c r="I45" s="14">
        <v>95</v>
      </c>
      <c r="J45" s="15">
        <f t="shared" ref="J45:J51" si="1">+H45*I45</f>
        <v>0</v>
      </c>
      <c r="K45" s="7">
        <v>45198</v>
      </c>
    </row>
    <row r="46" spans="1:11" ht="22.2" customHeight="1" x14ac:dyDescent="0.3">
      <c r="A46" s="1" t="s">
        <v>36</v>
      </c>
      <c r="B46" s="11" t="s">
        <v>52</v>
      </c>
      <c r="C46" s="8" t="s">
        <v>10</v>
      </c>
      <c r="D46" s="12">
        <v>45184</v>
      </c>
      <c r="E46" s="8">
        <v>0</v>
      </c>
      <c r="F46" s="8">
        <v>2</v>
      </c>
      <c r="G46" s="8">
        <v>-2</v>
      </c>
      <c r="H46" s="13">
        <f>SUM(Tabla13[[#This Row],[Balance corte Digecog]:[SALIDA]])</f>
        <v>0</v>
      </c>
      <c r="I46" s="14">
        <v>90</v>
      </c>
      <c r="J46" s="15">
        <f t="shared" si="1"/>
        <v>0</v>
      </c>
      <c r="K46" s="7">
        <v>45198</v>
      </c>
    </row>
    <row r="47" spans="1:11" x14ac:dyDescent="0.3">
      <c r="A47" s="8" t="s">
        <v>23</v>
      </c>
      <c r="B47" s="11" t="s">
        <v>53</v>
      </c>
      <c r="C47" s="8" t="s">
        <v>54</v>
      </c>
      <c r="D47" s="12">
        <v>45112</v>
      </c>
      <c r="E47" s="8">
        <v>0</v>
      </c>
      <c r="F47" s="8">
        <v>15</v>
      </c>
      <c r="G47" s="8">
        <v>-15</v>
      </c>
      <c r="H47" s="13">
        <f>SUM(Tabla13[[#This Row],[Balance corte Digecog]:[SALIDA]])</f>
        <v>0</v>
      </c>
      <c r="I47" s="14">
        <v>215.52</v>
      </c>
      <c r="J47" s="15">
        <f>+H47*I47</f>
        <v>0</v>
      </c>
      <c r="K47" s="7">
        <v>45198</v>
      </c>
    </row>
    <row r="48" spans="1:11" ht="38.4" customHeight="1" x14ac:dyDescent="0.3">
      <c r="A48" s="8" t="s">
        <v>23</v>
      </c>
      <c r="B48" s="11" t="s">
        <v>55</v>
      </c>
      <c r="C48" s="8" t="s">
        <v>56</v>
      </c>
      <c r="D48" s="12">
        <v>45149</v>
      </c>
      <c r="E48" s="8">
        <v>38</v>
      </c>
      <c r="F48" s="8">
        <v>445</v>
      </c>
      <c r="G48" s="8">
        <v>-119</v>
      </c>
      <c r="H48" s="13">
        <f>SUM(Tabla13[[#This Row],[Balance corte Digecog]:[SALIDA]])</f>
        <v>364</v>
      </c>
      <c r="I48" s="14">
        <v>242</v>
      </c>
      <c r="J48" s="15">
        <f t="shared" si="1"/>
        <v>88088</v>
      </c>
      <c r="K48" s="7">
        <v>45198</v>
      </c>
    </row>
    <row r="49" spans="1:11" x14ac:dyDescent="0.3">
      <c r="A49" s="8" t="s">
        <v>23</v>
      </c>
      <c r="B49" s="11" t="s">
        <v>55</v>
      </c>
      <c r="C49" s="8" t="s">
        <v>57</v>
      </c>
      <c r="D49" s="12">
        <v>45147</v>
      </c>
      <c r="E49" s="8">
        <v>0</v>
      </c>
      <c r="F49" s="8">
        <v>15</v>
      </c>
      <c r="G49" s="8">
        <v>-15</v>
      </c>
      <c r="H49" s="13">
        <f>SUM(Tabla13[[#This Row],[Balance corte Digecog]:[SALIDA]])</f>
        <v>0</v>
      </c>
      <c r="I49" s="14">
        <v>215.52</v>
      </c>
      <c r="J49" s="15">
        <f t="shared" si="1"/>
        <v>0</v>
      </c>
      <c r="K49" s="7">
        <v>45198</v>
      </c>
    </row>
    <row r="50" spans="1:11" ht="47.4" customHeight="1" x14ac:dyDescent="0.3">
      <c r="A50" s="8" t="s">
        <v>23</v>
      </c>
      <c r="B50" s="11" t="s">
        <v>58</v>
      </c>
      <c r="C50" s="8" t="s">
        <v>10</v>
      </c>
      <c r="D50" s="12">
        <v>45149</v>
      </c>
      <c r="E50" s="8">
        <v>0</v>
      </c>
      <c r="F50" s="8">
        <v>75</v>
      </c>
      <c r="G50" s="8">
        <v>-27</v>
      </c>
      <c r="H50" s="13">
        <f>SUM(Tabla13[[#This Row],[Balance corte Digecog]:[SALIDA]])</f>
        <v>48</v>
      </c>
      <c r="I50" s="14">
        <v>315</v>
      </c>
      <c r="J50" s="15">
        <f t="shared" si="1"/>
        <v>15120</v>
      </c>
      <c r="K50" s="7">
        <v>45198</v>
      </c>
    </row>
    <row r="51" spans="1:11" ht="33" customHeight="1" x14ac:dyDescent="0.3">
      <c r="A51" s="8" t="s">
        <v>8</v>
      </c>
      <c r="B51" s="11" t="s">
        <v>59</v>
      </c>
      <c r="C51" s="8" t="s">
        <v>10</v>
      </c>
      <c r="D51" s="12">
        <v>45153</v>
      </c>
      <c r="E51" s="8">
        <v>0</v>
      </c>
      <c r="F51" s="8">
        <v>100</v>
      </c>
      <c r="G51" s="8">
        <v>-100</v>
      </c>
      <c r="H51" s="13">
        <f>SUM(Tabla13[[#This Row],[Balance corte Digecog]:[SALIDA]])</f>
        <v>0</v>
      </c>
      <c r="I51" s="14">
        <v>119</v>
      </c>
      <c r="J51" s="15">
        <f t="shared" si="1"/>
        <v>0</v>
      </c>
      <c r="K51" s="7">
        <v>45198</v>
      </c>
    </row>
    <row r="52" spans="1:11" x14ac:dyDescent="0.3">
      <c r="A52" s="1" t="s">
        <v>29</v>
      </c>
      <c r="B52" s="11" t="s">
        <v>60</v>
      </c>
      <c r="C52" s="8" t="s">
        <v>12</v>
      </c>
      <c r="D52" s="8"/>
      <c r="E52" s="8">
        <v>30</v>
      </c>
      <c r="F52" s="8">
        <v>0</v>
      </c>
      <c r="G52" s="8">
        <v>-6</v>
      </c>
      <c r="H52" s="13">
        <f>SUM(Tabla13[[#This Row],[Balance corte Digecog]:[SALIDA]])</f>
        <v>24</v>
      </c>
      <c r="I52" s="14">
        <v>20</v>
      </c>
      <c r="J52" s="15">
        <f>20*30</f>
        <v>600</v>
      </c>
      <c r="K52" s="7">
        <v>45198</v>
      </c>
    </row>
    <row r="53" spans="1:11" x14ac:dyDescent="0.3">
      <c r="A53" s="10" t="s">
        <v>13</v>
      </c>
      <c r="B53" s="11" t="s">
        <v>61</v>
      </c>
      <c r="C53" s="8" t="s">
        <v>10</v>
      </c>
      <c r="D53" s="12">
        <v>45083</v>
      </c>
      <c r="E53" s="8">
        <v>0</v>
      </c>
      <c r="F53" s="8">
        <v>2</v>
      </c>
      <c r="G53" s="8">
        <v>-2</v>
      </c>
      <c r="H53" s="13">
        <f>SUM(Tabla13[[#This Row],[Balance corte Digecog]:[SALIDA]])</f>
        <v>0</v>
      </c>
      <c r="I53" s="14">
        <v>2555.88</v>
      </c>
      <c r="J53" s="15">
        <v>0</v>
      </c>
      <c r="K53" s="7">
        <v>45198</v>
      </c>
    </row>
    <row r="54" spans="1:11" x14ac:dyDescent="0.3">
      <c r="A54" s="10"/>
      <c r="B54" s="11" t="s">
        <v>62</v>
      </c>
      <c r="C54" s="8" t="s">
        <v>10</v>
      </c>
      <c r="D54" s="12">
        <v>45170</v>
      </c>
      <c r="E54" s="8">
        <v>0</v>
      </c>
      <c r="F54" s="8">
        <v>1</v>
      </c>
      <c r="G54" s="8">
        <v>-1</v>
      </c>
      <c r="H54" s="13">
        <f>SUM(Tabla13[[#This Row],[Balance corte Digecog]:[SALIDA]])</f>
        <v>0</v>
      </c>
      <c r="I54" s="14">
        <v>21000</v>
      </c>
      <c r="J54" s="15">
        <f>+H54*I54</f>
        <v>0</v>
      </c>
      <c r="K54" s="7">
        <v>45198</v>
      </c>
    </row>
    <row r="55" spans="1:11" x14ac:dyDescent="0.3">
      <c r="A55" s="8" t="s">
        <v>36</v>
      </c>
      <c r="B55" s="11" t="s">
        <v>63</v>
      </c>
      <c r="C55" s="8" t="s">
        <v>10</v>
      </c>
      <c r="D55" s="8"/>
      <c r="E55" s="8">
        <v>5</v>
      </c>
      <c r="F55" s="8">
        <v>0</v>
      </c>
      <c r="G55" s="8">
        <v>0</v>
      </c>
      <c r="H55" s="13">
        <f>SUM(Tabla13[[#This Row],[Balance corte Digecog]:[SALIDA]])</f>
        <v>5</v>
      </c>
      <c r="I55" s="14">
        <v>533.89</v>
      </c>
      <c r="J55" s="15">
        <f>533.89*5</f>
        <v>2669.45</v>
      </c>
      <c r="K55" s="7">
        <v>45198</v>
      </c>
    </row>
    <row r="56" spans="1:11" ht="24" x14ac:dyDescent="0.3">
      <c r="A56" s="1" t="s">
        <v>64</v>
      </c>
      <c r="B56" s="11" t="s">
        <v>65</v>
      </c>
      <c r="C56" s="8" t="s">
        <v>10</v>
      </c>
      <c r="D56" s="8"/>
      <c r="E56" s="8">
        <v>23</v>
      </c>
      <c r="F56" s="8">
        <v>0</v>
      </c>
      <c r="G56" s="8">
        <v>-10</v>
      </c>
      <c r="H56" s="13">
        <f>SUM(Tabla13[[#This Row],[Balance corte Digecog]:[SALIDA]])</f>
        <v>13</v>
      </c>
      <c r="I56" s="14">
        <v>116.27</v>
      </c>
      <c r="J56" s="15">
        <f>23*116.27</f>
        <v>2674.21</v>
      </c>
      <c r="K56" s="7">
        <v>45198</v>
      </c>
    </row>
    <row r="57" spans="1:11" ht="24" x14ac:dyDescent="0.3">
      <c r="A57" s="1" t="s">
        <v>64</v>
      </c>
      <c r="B57" s="11" t="s">
        <v>66</v>
      </c>
      <c r="C57" s="8" t="s">
        <v>10</v>
      </c>
      <c r="D57" s="8"/>
      <c r="E57" s="8">
        <v>20</v>
      </c>
      <c r="F57" s="8">
        <v>0</v>
      </c>
      <c r="G57" s="8">
        <v>-8</v>
      </c>
      <c r="H57" s="13">
        <f>SUM(Tabla13[[#This Row],[Balance corte Digecog]:[SALIDA]])</f>
        <v>12</v>
      </c>
      <c r="I57" s="14">
        <v>218.64</v>
      </c>
      <c r="J57" s="15">
        <f>20*218.64</f>
        <v>4372.7999999999993</v>
      </c>
      <c r="K57" s="7">
        <v>45198</v>
      </c>
    </row>
    <row r="58" spans="1:11" x14ac:dyDescent="0.3">
      <c r="A58" s="1" t="s">
        <v>29</v>
      </c>
      <c r="B58" s="11" t="s">
        <v>67</v>
      </c>
      <c r="C58" s="8" t="s">
        <v>10</v>
      </c>
      <c r="D58" s="8"/>
      <c r="E58" s="8">
        <v>1</v>
      </c>
      <c r="F58" s="8">
        <v>0</v>
      </c>
      <c r="G58" s="8">
        <v>0</v>
      </c>
      <c r="H58" s="13">
        <f>SUM(Tabla13[[#This Row],[Balance corte Digecog]:[SALIDA]])</f>
        <v>1</v>
      </c>
      <c r="I58" s="14">
        <v>1100</v>
      </c>
      <c r="J58" s="15">
        <f>+H58*I58</f>
        <v>1100</v>
      </c>
      <c r="K58" s="7">
        <v>45198</v>
      </c>
    </row>
    <row r="59" spans="1:11" x14ac:dyDescent="0.3">
      <c r="A59" s="1" t="s">
        <v>29</v>
      </c>
      <c r="B59" s="11" t="s">
        <v>68</v>
      </c>
      <c r="C59" s="8" t="s">
        <v>10</v>
      </c>
      <c r="D59" s="8"/>
      <c r="E59" s="8">
        <v>4</v>
      </c>
      <c r="F59" s="8">
        <v>0</v>
      </c>
      <c r="G59" s="8">
        <v>-2</v>
      </c>
      <c r="H59" s="13">
        <f>SUM(Tabla13[[#This Row],[Balance corte Digecog]:[SALIDA]])</f>
        <v>2</v>
      </c>
      <c r="I59" s="14">
        <v>1650</v>
      </c>
      <c r="J59" s="15">
        <f>1650*4</f>
        <v>6600</v>
      </c>
      <c r="K59" s="7">
        <v>45198</v>
      </c>
    </row>
    <row r="60" spans="1:11" x14ac:dyDescent="0.3">
      <c r="A60" s="1" t="s">
        <v>29</v>
      </c>
      <c r="B60" s="11" t="s">
        <v>69</v>
      </c>
      <c r="C60" s="8" t="s">
        <v>10</v>
      </c>
      <c r="D60" s="8"/>
      <c r="E60" s="8">
        <v>3</v>
      </c>
      <c r="F60" s="8">
        <v>0</v>
      </c>
      <c r="G60" s="8">
        <v>0</v>
      </c>
      <c r="H60" s="13">
        <f>SUM(Tabla13[[#This Row],[Balance corte Digecog]:[SALIDA]])</f>
        <v>3</v>
      </c>
      <c r="I60" s="14">
        <v>1050</v>
      </c>
      <c r="J60" s="15">
        <f>+H60*I60</f>
        <v>3150</v>
      </c>
      <c r="K60" s="7">
        <v>45198</v>
      </c>
    </row>
    <row r="61" spans="1:11" x14ac:dyDescent="0.3">
      <c r="A61" s="1" t="s">
        <v>29</v>
      </c>
      <c r="B61" s="11" t="s">
        <v>70</v>
      </c>
      <c r="C61" s="8" t="s">
        <v>10</v>
      </c>
      <c r="D61" s="8"/>
      <c r="E61" s="8">
        <v>20</v>
      </c>
      <c r="F61" s="8">
        <v>0</v>
      </c>
      <c r="G61" s="8">
        <v>0</v>
      </c>
      <c r="H61" s="13">
        <f>SUM(Tabla13[[#This Row],[Balance corte Digecog]:[SALIDA]])</f>
        <v>20</v>
      </c>
      <c r="I61" s="14">
        <v>879.48</v>
      </c>
      <c r="J61" s="15">
        <f>879.48*20</f>
        <v>17589.599999999999</v>
      </c>
      <c r="K61" s="7">
        <v>45198</v>
      </c>
    </row>
    <row r="62" spans="1:11" x14ac:dyDescent="0.3">
      <c r="A62" s="1" t="s">
        <v>29</v>
      </c>
      <c r="B62" s="11" t="s">
        <v>71</v>
      </c>
      <c r="C62" s="8" t="s">
        <v>10</v>
      </c>
      <c r="D62" s="8"/>
      <c r="E62" s="8">
        <v>17</v>
      </c>
      <c r="F62" s="8">
        <v>0</v>
      </c>
      <c r="G62" s="8">
        <v>0</v>
      </c>
      <c r="H62" s="13">
        <f>SUM(Tabla13[[#This Row],[Balance corte Digecog]:[SALIDA]])</f>
        <v>17</v>
      </c>
      <c r="I62" s="14">
        <v>1070.46</v>
      </c>
      <c r="J62" s="15">
        <f>1070.46*17</f>
        <v>18197.82</v>
      </c>
      <c r="K62" s="7">
        <v>45198</v>
      </c>
    </row>
    <row r="63" spans="1:11" x14ac:dyDescent="0.3">
      <c r="A63" s="1" t="s">
        <v>29</v>
      </c>
      <c r="B63" s="11" t="s">
        <v>72</v>
      </c>
      <c r="C63" s="8" t="s">
        <v>10</v>
      </c>
      <c r="D63" s="8"/>
      <c r="E63" s="8">
        <v>7</v>
      </c>
      <c r="F63" s="8">
        <v>0</v>
      </c>
      <c r="G63" s="8">
        <v>0</v>
      </c>
      <c r="H63" s="13">
        <f>SUM(Tabla13[[#This Row],[Balance corte Digecog]:[SALIDA]])</f>
        <v>7</v>
      </c>
      <c r="I63" s="14">
        <v>750</v>
      </c>
      <c r="J63" s="15">
        <f>750*7</f>
        <v>5250</v>
      </c>
      <c r="K63" s="7">
        <v>45198</v>
      </c>
    </row>
    <row r="64" spans="1:11" x14ac:dyDescent="0.3">
      <c r="A64" s="1" t="s">
        <v>29</v>
      </c>
      <c r="B64" s="11" t="s">
        <v>73</v>
      </c>
      <c r="C64" s="8" t="s">
        <v>10</v>
      </c>
      <c r="D64" s="8"/>
      <c r="E64" s="8">
        <v>9</v>
      </c>
      <c r="F64" s="8">
        <v>0</v>
      </c>
      <c r="G64" s="8">
        <v>0</v>
      </c>
      <c r="H64" s="13">
        <f>SUM(Tabla13[[#This Row],[Balance corte Digecog]:[SALIDA]])</f>
        <v>9</v>
      </c>
      <c r="I64" s="14">
        <v>900</v>
      </c>
      <c r="J64" s="15">
        <f>900*9</f>
        <v>8100</v>
      </c>
      <c r="K64" s="7">
        <v>45198</v>
      </c>
    </row>
    <row r="65" spans="1:11" x14ac:dyDescent="0.3">
      <c r="A65" s="1" t="s">
        <v>29</v>
      </c>
      <c r="B65" s="11" t="s">
        <v>74</v>
      </c>
      <c r="C65" s="8" t="s">
        <v>10</v>
      </c>
      <c r="D65" s="8"/>
      <c r="E65" s="8">
        <v>1</v>
      </c>
      <c r="F65" s="8">
        <v>2</v>
      </c>
      <c r="G65" s="8">
        <v>0</v>
      </c>
      <c r="H65" s="13">
        <f>SUM(Tabla13[[#This Row],[Balance corte Digecog]:[SALIDA]])</f>
        <v>3</v>
      </c>
      <c r="I65" s="14">
        <v>1200</v>
      </c>
      <c r="J65" s="15">
        <f>+H65*I65</f>
        <v>3600</v>
      </c>
      <c r="K65" s="7">
        <v>45198</v>
      </c>
    </row>
    <row r="66" spans="1:11" x14ac:dyDescent="0.3">
      <c r="A66" s="1" t="s">
        <v>29</v>
      </c>
      <c r="B66" s="11" t="s">
        <v>75</v>
      </c>
      <c r="C66" s="8" t="s">
        <v>10</v>
      </c>
      <c r="D66" s="12">
        <v>45113</v>
      </c>
      <c r="E66" s="8">
        <v>1</v>
      </c>
      <c r="F66" s="8">
        <v>3</v>
      </c>
      <c r="G66" s="8">
        <v>0</v>
      </c>
      <c r="H66" s="13">
        <f>SUM(Tabla13[[#This Row],[Balance corte Digecog]:[SALIDA]])</f>
        <v>4</v>
      </c>
      <c r="I66" s="14">
        <v>1265.27</v>
      </c>
      <c r="J66" s="15">
        <f>+H66*I66</f>
        <v>5061.08</v>
      </c>
      <c r="K66" s="7">
        <v>45198</v>
      </c>
    </row>
    <row r="67" spans="1:11" x14ac:dyDescent="0.3">
      <c r="A67" s="1" t="s">
        <v>29</v>
      </c>
      <c r="B67" s="11" t="s">
        <v>76</v>
      </c>
      <c r="C67" s="8" t="s">
        <v>10</v>
      </c>
      <c r="D67" s="8"/>
      <c r="E67" s="8">
        <v>1</v>
      </c>
      <c r="F67" s="8">
        <v>4</v>
      </c>
      <c r="G67" s="8">
        <v>-3</v>
      </c>
      <c r="H67" s="13">
        <f>SUM(Tabla13[[#This Row],[Balance corte Digecog]:[SALIDA]])</f>
        <v>2</v>
      </c>
      <c r="I67" s="14">
        <v>1700</v>
      </c>
      <c r="J67" s="15">
        <f>+H67*I67</f>
        <v>3400</v>
      </c>
      <c r="K67" s="7">
        <v>45198</v>
      </c>
    </row>
    <row r="68" spans="1:11" x14ac:dyDescent="0.3">
      <c r="A68" s="1" t="s">
        <v>29</v>
      </c>
      <c r="B68" s="11" t="s">
        <v>77</v>
      </c>
      <c r="C68" s="8" t="s">
        <v>10</v>
      </c>
      <c r="D68" s="8"/>
      <c r="E68" s="8">
        <v>22</v>
      </c>
      <c r="F68" s="8">
        <v>0</v>
      </c>
      <c r="G68" s="8">
        <v>-6</v>
      </c>
      <c r="H68" s="13">
        <f>SUM(Tabla13[[#This Row],[Balance corte Digecog]:[SALIDA]])</f>
        <v>16</v>
      </c>
      <c r="I68" s="14">
        <v>1300</v>
      </c>
      <c r="J68" s="15">
        <f>1300*22</f>
        <v>28600</v>
      </c>
      <c r="K68" s="7">
        <v>45198</v>
      </c>
    </row>
    <row r="69" spans="1:11" x14ac:dyDescent="0.3">
      <c r="A69" s="1" t="s">
        <v>29</v>
      </c>
      <c r="B69" s="11" t="s">
        <v>78</v>
      </c>
      <c r="C69" s="8" t="s">
        <v>10</v>
      </c>
      <c r="D69" s="8"/>
      <c r="E69" s="8">
        <v>3</v>
      </c>
      <c r="F69" s="8">
        <v>0</v>
      </c>
      <c r="G69" s="8">
        <v>0</v>
      </c>
      <c r="H69" s="13">
        <f>SUM(Tabla13[[#This Row],[Balance corte Digecog]:[SALIDA]])</f>
        <v>3</v>
      </c>
      <c r="I69" s="14">
        <v>1400</v>
      </c>
      <c r="J69" s="15">
        <f>1400*3</f>
        <v>4200</v>
      </c>
      <c r="K69" s="7">
        <v>45198</v>
      </c>
    </row>
    <row r="70" spans="1:11" x14ac:dyDescent="0.3">
      <c r="A70" s="1" t="s">
        <v>29</v>
      </c>
      <c r="B70" s="11" t="s">
        <v>79</v>
      </c>
      <c r="C70" s="8" t="s">
        <v>10</v>
      </c>
      <c r="D70" s="8"/>
      <c r="E70" s="8">
        <v>26</v>
      </c>
      <c r="F70" s="8">
        <v>0</v>
      </c>
      <c r="G70" s="8">
        <v>0</v>
      </c>
      <c r="H70" s="13">
        <f>SUM(Tabla13[[#This Row],[Balance corte Digecog]:[SALIDA]])</f>
        <v>26</v>
      </c>
      <c r="I70" s="14">
        <v>1250</v>
      </c>
      <c r="J70" s="15">
        <f>1250*23</f>
        <v>28750</v>
      </c>
      <c r="K70" s="7">
        <v>45198</v>
      </c>
    </row>
    <row r="71" spans="1:11" x14ac:dyDescent="0.3">
      <c r="A71" s="1" t="s">
        <v>29</v>
      </c>
      <c r="B71" s="11" t="s">
        <v>80</v>
      </c>
      <c r="C71" s="8" t="s">
        <v>10</v>
      </c>
      <c r="D71" s="8"/>
      <c r="E71" s="8">
        <v>22</v>
      </c>
      <c r="F71" s="8">
        <v>0</v>
      </c>
      <c r="G71" s="8">
        <v>-1</v>
      </c>
      <c r="H71" s="13">
        <f>SUM(Tabla13[[#This Row],[Balance corte Digecog]:[SALIDA]])</f>
        <v>21</v>
      </c>
      <c r="I71" s="14">
        <v>1200</v>
      </c>
      <c r="J71" s="15">
        <f>22*1200</f>
        <v>26400</v>
      </c>
      <c r="K71" s="7">
        <v>45198</v>
      </c>
    </row>
    <row r="72" spans="1:11" ht="32.4" customHeight="1" x14ac:dyDescent="0.3">
      <c r="A72" s="1" t="s">
        <v>29</v>
      </c>
      <c r="B72" s="11" t="s">
        <v>81</v>
      </c>
      <c r="C72" s="8" t="s">
        <v>10</v>
      </c>
      <c r="D72" s="8"/>
      <c r="E72" s="8">
        <v>3</v>
      </c>
      <c r="F72" s="8">
        <v>0</v>
      </c>
      <c r="G72" s="8">
        <v>-1</v>
      </c>
      <c r="H72" s="13">
        <f>SUM(Tabla13[[#This Row],[Balance corte Digecog]:[SALIDA]])</f>
        <v>2</v>
      </c>
      <c r="I72" s="14">
        <v>770</v>
      </c>
      <c r="J72" s="15">
        <f>770*3</f>
        <v>2310</v>
      </c>
      <c r="K72" s="7">
        <v>45198</v>
      </c>
    </row>
    <row r="73" spans="1:11" ht="24" customHeight="1" x14ac:dyDescent="0.3">
      <c r="A73" s="1" t="s">
        <v>29</v>
      </c>
      <c r="B73" s="11" t="s">
        <v>82</v>
      </c>
      <c r="C73" s="8" t="s">
        <v>10</v>
      </c>
      <c r="D73" s="8"/>
      <c r="E73" s="8">
        <v>18</v>
      </c>
      <c r="F73" s="8">
        <v>0</v>
      </c>
      <c r="G73" s="8">
        <v>-4</v>
      </c>
      <c r="H73" s="13">
        <f>SUM(Tabla13[[#This Row],[Balance corte Digecog]:[SALIDA]])</f>
        <v>14</v>
      </c>
      <c r="I73" s="14">
        <v>1400</v>
      </c>
      <c r="J73" s="15">
        <f>18*1400</f>
        <v>25200</v>
      </c>
      <c r="K73" s="7">
        <v>45198</v>
      </c>
    </row>
    <row r="74" spans="1:11" x14ac:dyDescent="0.3">
      <c r="A74" s="1" t="s">
        <v>29</v>
      </c>
      <c r="B74" s="11" t="s">
        <v>83</v>
      </c>
      <c r="C74" s="8" t="s">
        <v>10</v>
      </c>
      <c r="D74" s="8"/>
      <c r="E74" s="8">
        <v>11</v>
      </c>
      <c r="F74" s="8">
        <v>0</v>
      </c>
      <c r="G74" s="8">
        <v>-1</v>
      </c>
      <c r="H74" s="13">
        <f>SUM(Tabla13[[#This Row],[Balance corte Digecog]:[SALIDA]])</f>
        <v>10</v>
      </c>
      <c r="I74" s="14">
        <v>1050</v>
      </c>
      <c r="J74" s="15">
        <f>11*1050</f>
        <v>11550</v>
      </c>
      <c r="K74" s="7">
        <v>45198</v>
      </c>
    </row>
    <row r="75" spans="1:11" x14ac:dyDescent="0.3">
      <c r="A75" s="1" t="s">
        <v>29</v>
      </c>
      <c r="B75" s="11" t="s">
        <v>84</v>
      </c>
      <c r="C75" s="8" t="s">
        <v>10</v>
      </c>
      <c r="D75" s="8"/>
      <c r="E75" s="8">
        <v>1</v>
      </c>
      <c r="F75" s="8">
        <v>11</v>
      </c>
      <c r="G75" s="8">
        <v>0</v>
      </c>
      <c r="H75" s="13">
        <f>SUM(Tabla13[[#This Row],[Balance corte Digecog]:[SALIDA]])</f>
        <v>12</v>
      </c>
      <c r="I75" s="14">
        <v>570</v>
      </c>
      <c r="J75" s="15">
        <f>+H75*I75</f>
        <v>6840</v>
      </c>
      <c r="K75" s="7">
        <v>45198</v>
      </c>
    </row>
    <row r="76" spans="1:11" x14ac:dyDescent="0.3">
      <c r="A76" s="1" t="s">
        <v>29</v>
      </c>
      <c r="B76" s="11" t="s">
        <v>85</v>
      </c>
      <c r="C76" s="8" t="s">
        <v>10</v>
      </c>
      <c r="D76" s="8"/>
      <c r="E76" s="8">
        <v>1</v>
      </c>
      <c r="F76" s="8">
        <v>0</v>
      </c>
      <c r="G76" s="8">
        <v>0</v>
      </c>
      <c r="H76" s="13">
        <f>SUM(Tabla13[[#This Row],[Balance corte Digecog]:[SALIDA]])</f>
        <v>1</v>
      </c>
      <c r="I76" s="14">
        <v>1021</v>
      </c>
      <c r="J76" s="15">
        <f>+H76*I76</f>
        <v>1021</v>
      </c>
      <c r="K76" s="7">
        <v>45198</v>
      </c>
    </row>
    <row r="77" spans="1:11" x14ac:dyDescent="0.3">
      <c r="A77" s="1" t="s">
        <v>29</v>
      </c>
      <c r="B77" s="11" t="s">
        <v>86</v>
      </c>
      <c r="C77" s="8" t="s">
        <v>10</v>
      </c>
      <c r="D77" s="8"/>
      <c r="E77" s="8">
        <v>0</v>
      </c>
      <c r="F77" s="8">
        <v>11</v>
      </c>
      <c r="G77" s="8">
        <v>0</v>
      </c>
      <c r="H77" s="13">
        <f>SUM(Tabla13[[#This Row],[Balance corte Digecog]:[SALIDA]])</f>
        <v>11</v>
      </c>
      <c r="I77" s="14">
        <v>685</v>
      </c>
      <c r="J77" s="15">
        <f>+H77*I77</f>
        <v>7535</v>
      </c>
      <c r="K77" s="7">
        <v>45198</v>
      </c>
    </row>
    <row r="78" spans="1:11" x14ac:dyDescent="0.3">
      <c r="A78" s="1" t="s">
        <v>8</v>
      </c>
      <c r="B78" s="11" t="s">
        <v>399</v>
      </c>
      <c r="C78" s="8" t="s">
        <v>10</v>
      </c>
      <c r="D78" s="12">
        <v>45118</v>
      </c>
      <c r="E78" s="8">
        <v>48</v>
      </c>
      <c r="F78" s="8">
        <v>150</v>
      </c>
      <c r="G78" s="8">
        <v>0</v>
      </c>
      <c r="H78" s="13">
        <f>SUM(Tabla13[[#This Row],[Balance corte Digecog]:[SALIDA]])</f>
        <v>198</v>
      </c>
      <c r="I78" s="14">
        <v>8.09</v>
      </c>
      <c r="J78" s="15">
        <f>Tabla13[[#This Row],[EXISTENCIA]]*Tabla13[[#This Row],[PRECIO UNIT. ]]</f>
        <v>1601.82</v>
      </c>
      <c r="K78" s="7">
        <v>45198</v>
      </c>
    </row>
    <row r="79" spans="1:11" x14ac:dyDescent="0.3">
      <c r="A79" s="1" t="s">
        <v>8</v>
      </c>
      <c r="B79" s="11" t="s">
        <v>87</v>
      </c>
      <c r="C79" s="8" t="s">
        <v>10</v>
      </c>
      <c r="D79" s="12">
        <v>45118</v>
      </c>
      <c r="E79" s="8">
        <v>0</v>
      </c>
      <c r="F79" s="8">
        <v>50</v>
      </c>
      <c r="G79" s="8">
        <v>0</v>
      </c>
      <c r="H79" s="13">
        <f>SUM(Tabla13[[#This Row],[Balance corte Digecog]:[SALIDA]])</f>
        <v>50</v>
      </c>
      <c r="I79" s="14">
        <v>8.09</v>
      </c>
      <c r="J79" s="15">
        <f>+H79*I79</f>
        <v>404.5</v>
      </c>
      <c r="K79" s="7">
        <v>45198</v>
      </c>
    </row>
    <row r="80" spans="1:11" x14ac:dyDescent="0.3">
      <c r="A80" s="1" t="s">
        <v>29</v>
      </c>
      <c r="B80" s="11" t="s">
        <v>88</v>
      </c>
      <c r="C80" s="8" t="s">
        <v>10</v>
      </c>
      <c r="D80" s="12">
        <v>45121</v>
      </c>
      <c r="E80" s="8">
        <v>0</v>
      </c>
      <c r="F80" s="8">
        <v>3</v>
      </c>
      <c r="G80" s="8">
        <v>-1</v>
      </c>
      <c r="H80" s="13">
        <f>SUM(Tabla13[[#This Row],[Balance corte Digecog]:[SALIDA]])</f>
        <v>2</v>
      </c>
      <c r="I80" s="14">
        <v>800</v>
      </c>
      <c r="J80" s="15">
        <f>+H80*I80</f>
        <v>1600</v>
      </c>
      <c r="K80" s="7">
        <v>45198</v>
      </c>
    </row>
    <row r="81" spans="1:11" x14ac:dyDescent="0.3">
      <c r="A81" s="1" t="s">
        <v>64</v>
      </c>
      <c r="B81" s="11" t="s">
        <v>89</v>
      </c>
      <c r="C81" s="8" t="s">
        <v>10</v>
      </c>
      <c r="D81" s="8"/>
      <c r="E81" s="8">
        <v>69</v>
      </c>
      <c r="F81" s="8">
        <v>0</v>
      </c>
      <c r="G81" s="8">
        <v>0</v>
      </c>
      <c r="H81" s="13">
        <f>SUM(Tabla13[[#This Row],[Balance corte Digecog]:[SALIDA]])</f>
        <v>69</v>
      </c>
      <c r="I81" s="14">
        <v>11</v>
      </c>
      <c r="J81" s="15">
        <f>11*69</f>
        <v>759</v>
      </c>
      <c r="K81" s="7">
        <v>45198</v>
      </c>
    </row>
    <row r="82" spans="1:11" ht="25.8" customHeight="1" x14ac:dyDescent="0.3">
      <c r="A82" s="1" t="s">
        <v>64</v>
      </c>
      <c r="B82" s="11" t="s">
        <v>90</v>
      </c>
      <c r="C82" s="8" t="s">
        <v>10</v>
      </c>
      <c r="D82" s="8"/>
      <c r="E82" s="8">
        <v>6</v>
      </c>
      <c r="F82" s="8">
        <v>0</v>
      </c>
      <c r="G82" s="8">
        <v>0</v>
      </c>
      <c r="H82" s="13">
        <f>SUM(Tabla13[[#This Row],[Balance corte Digecog]:[SALIDA]])</f>
        <v>6</v>
      </c>
      <c r="I82" s="14">
        <v>65</v>
      </c>
      <c r="J82" s="15">
        <f>65*6</f>
        <v>390</v>
      </c>
      <c r="K82" s="7">
        <v>45198</v>
      </c>
    </row>
    <row r="83" spans="1:11" ht="26.4" customHeight="1" x14ac:dyDescent="0.3">
      <c r="A83" s="1" t="s">
        <v>64</v>
      </c>
      <c r="B83" s="11" t="s">
        <v>91</v>
      </c>
      <c r="C83" s="8" t="s">
        <v>10</v>
      </c>
      <c r="D83" s="8"/>
      <c r="E83" s="8">
        <v>72</v>
      </c>
      <c r="F83" s="8">
        <v>0</v>
      </c>
      <c r="G83" s="8">
        <v>0</v>
      </c>
      <c r="H83" s="13">
        <f>SUM(Tabla13[[#This Row],[Balance corte Digecog]:[SALIDA]])</f>
        <v>72</v>
      </c>
      <c r="I83" s="14">
        <v>81.260000000000005</v>
      </c>
      <c r="J83" s="15">
        <f>81.26*72</f>
        <v>5850.72</v>
      </c>
      <c r="K83" s="7">
        <v>45198</v>
      </c>
    </row>
    <row r="84" spans="1:11" x14ac:dyDescent="0.3">
      <c r="A84" s="8" t="s">
        <v>17</v>
      </c>
      <c r="B84" s="11" t="s">
        <v>92</v>
      </c>
      <c r="C84" s="8" t="s">
        <v>22</v>
      </c>
      <c r="D84" s="8"/>
      <c r="E84" s="8">
        <v>2</v>
      </c>
      <c r="F84" s="8">
        <v>2</v>
      </c>
      <c r="G84" s="8">
        <v>0</v>
      </c>
      <c r="H84" s="13">
        <f>SUM(Tabla13[[#This Row],[Balance corte Digecog]:[SALIDA]])</f>
        <v>4</v>
      </c>
      <c r="I84" s="14">
        <v>90</v>
      </c>
      <c r="J84" s="15">
        <f>+H84*I84</f>
        <v>360</v>
      </c>
      <c r="K84" s="7">
        <v>45198</v>
      </c>
    </row>
    <row r="85" spans="1:11" x14ac:dyDescent="0.3">
      <c r="A85" s="1" t="s">
        <v>8</v>
      </c>
      <c r="B85" s="11" t="s">
        <v>93</v>
      </c>
      <c r="C85" s="8" t="s">
        <v>10</v>
      </c>
      <c r="D85" s="12">
        <v>45118</v>
      </c>
      <c r="E85" s="8">
        <v>0</v>
      </c>
      <c r="F85" s="8">
        <v>60</v>
      </c>
      <c r="G85" s="8">
        <v>-1</v>
      </c>
      <c r="H85" s="13">
        <f>SUM(Tabla13[[#This Row],[Balance corte Digecog]:[SALIDA]])</f>
        <v>59</v>
      </c>
      <c r="I85" s="14">
        <v>41.53</v>
      </c>
      <c r="J85" s="15">
        <f>Tabla13[[#This Row],[EXISTENCIA]]*Tabla13[[#This Row],[PRECIO UNIT. ]]</f>
        <v>2450.27</v>
      </c>
      <c r="K85" s="7">
        <v>45198</v>
      </c>
    </row>
    <row r="86" spans="1:11" x14ac:dyDescent="0.3">
      <c r="A86" s="1" t="s">
        <v>8</v>
      </c>
      <c r="B86" s="11" t="s">
        <v>94</v>
      </c>
      <c r="C86" s="8" t="s">
        <v>10</v>
      </c>
      <c r="D86" s="8"/>
      <c r="E86" s="8">
        <v>3</v>
      </c>
      <c r="F86" s="8">
        <v>0</v>
      </c>
      <c r="G86" s="8">
        <v>0</v>
      </c>
      <c r="H86" s="13">
        <f>SUM(Tabla13[[#This Row],[Balance corte Digecog]:[SALIDA]])</f>
        <v>3</v>
      </c>
      <c r="I86" s="14">
        <v>37.96</v>
      </c>
      <c r="J86" s="15">
        <f>37.96*3</f>
        <v>113.88</v>
      </c>
      <c r="K86" s="7">
        <v>45198</v>
      </c>
    </row>
    <row r="87" spans="1:11" x14ac:dyDescent="0.3">
      <c r="A87" s="1" t="s">
        <v>64</v>
      </c>
      <c r="B87" s="11" t="s">
        <v>95</v>
      </c>
      <c r="C87" s="8" t="s">
        <v>10</v>
      </c>
      <c r="D87" s="12">
        <v>45118</v>
      </c>
      <c r="E87" s="8">
        <v>28</v>
      </c>
      <c r="F87" s="8">
        <v>60</v>
      </c>
      <c r="G87" s="8">
        <v>0</v>
      </c>
      <c r="H87" s="13">
        <f>SUM(Tabla13[[#This Row],[Balance corte Digecog]:[SALIDA]])</f>
        <v>88</v>
      </c>
      <c r="I87" s="14">
        <v>58.14</v>
      </c>
      <c r="J87" s="15">
        <f>Tabla13[[#This Row],[PRECIO UNIT. ]]*Tabla13[[#This Row],[EXISTENCIA]]</f>
        <v>5116.32</v>
      </c>
      <c r="K87" s="7">
        <v>45198</v>
      </c>
    </row>
    <row r="88" spans="1:11" x14ac:dyDescent="0.3">
      <c r="A88" s="1" t="s">
        <v>64</v>
      </c>
      <c r="B88" s="11" t="s">
        <v>96</v>
      </c>
      <c r="C88" s="8" t="s">
        <v>10</v>
      </c>
      <c r="D88" s="8"/>
      <c r="E88" s="8">
        <v>42</v>
      </c>
      <c r="F88" s="8">
        <v>0</v>
      </c>
      <c r="G88" s="8">
        <v>-5</v>
      </c>
      <c r="H88" s="13">
        <f>SUM(Tabla13[[#This Row],[Balance corte Digecog]:[SALIDA]])</f>
        <v>37</v>
      </c>
      <c r="I88" s="14">
        <v>154.84</v>
      </c>
      <c r="J88" s="15">
        <f>42*154.84</f>
        <v>6503.28</v>
      </c>
      <c r="K88" s="7">
        <v>45198</v>
      </c>
    </row>
    <row r="89" spans="1:11" x14ac:dyDescent="0.3">
      <c r="A89" s="1" t="s">
        <v>64</v>
      </c>
      <c r="B89" s="11" t="s">
        <v>97</v>
      </c>
      <c r="C89" s="8" t="s">
        <v>10</v>
      </c>
      <c r="D89" s="12">
        <v>45121</v>
      </c>
      <c r="E89" s="8">
        <v>82</v>
      </c>
      <c r="F89" s="8">
        <v>150</v>
      </c>
      <c r="G89" s="8">
        <v>-67</v>
      </c>
      <c r="H89" s="13">
        <f>SUM(Tabla13[[#This Row],[Balance corte Digecog]:[SALIDA]])</f>
        <v>165</v>
      </c>
      <c r="I89" s="14">
        <v>60</v>
      </c>
      <c r="J89" s="15">
        <f>82*49.92</f>
        <v>4093.44</v>
      </c>
      <c r="K89" s="7">
        <v>45198</v>
      </c>
    </row>
    <row r="90" spans="1:11" x14ac:dyDescent="0.3">
      <c r="A90" s="1" t="s">
        <v>29</v>
      </c>
      <c r="B90" s="11" t="s">
        <v>98</v>
      </c>
      <c r="C90" s="8" t="s">
        <v>12</v>
      </c>
      <c r="D90" s="8"/>
      <c r="E90" s="8">
        <v>41</v>
      </c>
      <c r="F90" s="8">
        <v>0</v>
      </c>
      <c r="G90" s="8">
        <v>-41</v>
      </c>
      <c r="H90" s="13">
        <f>SUM(Tabla13[[#This Row],[Balance corte Digecog]:[SALIDA]])</f>
        <v>0</v>
      </c>
      <c r="I90" s="14">
        <v>40.17</v>
      </c>
      <c r="J90" s="15">
        <f>41*40.17</f>
        <v>1646.97</v>
      </c>
      <c r="K90" s="7">
        <v>45198</v>
      </c>
    </row>
    <row r="91" spans="1:11" x14ac:dyDescent="0.3">
      <c r="A91" s="1" t="s">
        <v>29</v>
      </c>
      <c r="B91" s="11" t="s">
        <v>98</v>
      </c>
      <c r="C91" s="8" t="s">
        <v>12</v>
      </c>
      <c r="D91" s="12">
        <v>45127</v>
      </c>
      <c r="E91" s="8">
        <v>0</v>
      </c>
      <c r="F91" s="8">
        <v>100</v>
      </c>
      <c r="G91" s="8">
        <v>0</v>
      </c>
      <c r="H91" s="13">
        <f>SUM(Tabla13[[#This Row],[Balance corte Digecog]:[SALIDA]])</f>
        <v>100</v>
      </c>
      <c r="I91" s="14">
        <v>20</v>
      </c>
      <c r="J91" s="15">
        <f>+H91*I91</f>
        <v>2000</v>
      </c>
      <c r="K91" s="7">
        <v>45198</v>
      </c>
    </row>
    <row r="92" spans="1:11" x14ac:dyDescent="0.3">
      <c r="A92" s="1" t="s">
        <v>29</v>
      </c>
      <c r="B92" s="11" t="s">
        <v>99</v>
      </c>
      <c r="C92" s="8" t="s">
        <v>12</v>
      </c>
      <c r="D92" s="12"/>
      <c r="E92" s="8">
        <v>173</v>
      </c>
      <c r="F92" s="8">
        <v>0</v>
      </c>
      <c r="G92" s="8">
        <v>-49</v>
      </c>
      <c r="H92" s="13">
        <f>SUM(Tabla13[[#This Row],[Balance corte Digecog]:[SALIDA]])</f>
        <v>124</v>
      </c>
      <c r="I92" s="14">
        <v>22.88</v>
      </c>
      <c r="J92" s="15">
        <f>173*22.28</f>
        <v>3854.44</v>
      </c>
      <c r="K92" s="7">
        <v>45198</v>
      </c>
    </row>
    <row r="93" spans="1:11" ht="21" customHeight="1" x14ac:dyDescent="0.3">
      <c r="A93" s="1" t="s">
        <v>29</v>
      </c>
      <c r="B93" s="11" t="s">
        <v>99</v>
      </c>
      <c r="C93" s="8" t="s">
        <v>12</v>
      </c>
      <c r="D93" s="12">
        <v>45127</v>
      </c>
      <c r="E93" s="8">
        <v>0</v>
      </c>
      <c r="F93" s="8">
        <v>30</v>
      </c>
      <c r="G93" s="8">
        <v>0</v>
      </c>
      <c r="H93" s="13">
        <f>SUM(Tabla13[[#This Row],[Balance corte Digecog]:[SALIDA]])</f>
        <v>30</v>
      </c>
      <c r="I93" s="14">
        <v>24</v>
      </c>
      <c r="J93" s="15">
        <f>+H93*I93</f>
        <v>720</v>
      </c>
      <c r="K93" s="7">
        <v>45198</v>
      </c>
    </row>
    <row r="94" spans="1:11" ht="22.8" customHeight="1" x14ac:dyDescent="0.3">
      <c r="A94" s="1" t="s">
        <v>29</v>
      </c>
      <c r="B94" s="11" t="s">
        <v>100</v>
      </c>
      <c r="C94" s="8" t="s">
        <v>12</v>
      </c>
      <c r="D94" s="8"/>
      <c r="E94" s="8">
        <v>80</v>
      </c>
      <c r="F94" s="8">
        <v>0</v>
      </c>
      <c r="G94" s="8">
        <v>-41</v>
      </c>
      <c r="H94" s="13">
        <f>SUM(Tabla13[[#This Row],[Balance corte Digecog]:[SALIDA]])</f>
        <v>39</v>
      </c>
      <c r="I94" s="14">
        <v>38.9</v>
      </c>
      <c r="J94" s="15">
        <f>80*38.9</f>
        <v>3112</v>
      </c>
      <c r="K94" s="7">
        <v>45198</v>
      </c>
    </row>
    <row r="95" spans="1:11" x14ac:dyDescent="0.3">
      <c r="A95" s="1" t="s">
        <v>29</v>
      </c>
      <c r="B95" s="11" t="s">
        <v>100</v>
      </c>
      <c r="C95" s="8" t="s">
        <v>12</v>
      </c>
      <c r="D95" s="12">
        <v>45127</v>
      </c>
      <c r="E95" s="8">
        <v>0</v>
      </c>
      <c r="F95" s="8">
        <v>30</v>
      </c>
      <c r="G95" s="8"/>
      <c r="H95" s="13">
        <f>SUM(Tabla13[[#This Row],[Balance corte Digecog]:[SALIDA]])</f>
        <v>30</v>
      </c>
      <c r="I95" s="14">
        <v>30</v>
      </c>
      <c r="J95" s="15">
        <f>+H95*I95</f>
        <v>900</v>
      </c>
      <c r="K95" s="7">
        <v>45198</v>
      </c>
    </row>
    <row r="96" spans="1:11" x14ac:dyDescent="0.3">
      <c r="A96" s="1" t="s">
        <v>29</v>
      </c>
      <c r="B96" s="11" t="s">
        <v>101</v>
      </c>
      <c r="C96" s="8" t="s">
        <v>12</v>
      </c>
      <c r="D96" s="8"/>
      <c r="E96" s="8">
        <v>187</v>
      </c>
      <c r="F96" s="8">
        <v>0</v>
      </c>
      <c r="G96" s="8">
        <v>-10</v>
      </c>
      <c r="H96" s="13">
        <f>SUM(Tabla13[[#This Row],[Balance corte Digecog]:[SALIDA]])</f>
        <v>177</v>
      </c>
      <c r="I96" s="14">
        <v>20</v>
      </c>
      <c r="J96" s="15">
        <f>187*108.2</f>
        <v>20233.400000000001</v>
      </c>
      <c r="K96" s="7">
        <v>45198</v>
      </c>
    </row>
    <row r="97" spans="1:11" x14ac:dyDescent="0.3">
      <c r="A97" s="1" t="s">
        <v>29</v>
      </c>
      <c r="B97" s="11" t="s">
        <v>102</v>
      </c>
      <c r="C97" s="8" t="s">
        <v>103</v>
      </c>
      <c r="D97" s="8"/>
      <c r="E97" s="8">
        <v>136</v>
      </c>
      <c r="F97" s="8">
        <v>0</v>
      </c>
      <c r="G97" s="8">
        <v>-39</v>
      </c>
      <c r="H97" s="13">
        <f>SUM(Tabla13[[#This Row],[Balance corte Digecog]:[SALIDA]])</f>
        <v>97</v>
      </c>
      <c r="I97" s="14">
        <v>12.36</v>
      </c>
      <c r="J97" s="15">
        <f>+H97*I97</f>
        <v>1198.9199999999998</v>
      </c>
      <c r="K97" s="7">
        <v>45198</v>
      </c>
    </row>
    <row r="98" spans="1:11" x14ac:dyDescent="0.3">
      <c r="A98" s="1" t="s">
        <v>29</v>
      </c>
      <c r="B98" s="11" t="s">
        <v>104</v>
      </c>
      <c r="C98" s="8" t="s">
        <v>103</v>
      </c>
      <c r="D98" s="12">
        <v>45118</v>
      </c>
      <c r="E98" s="8">
        <v>177</v>
      </c>
      <c r="F98" s="8">
        <v>104</v>
      </c>
      <c r="G98" s="8"/>
      <c r="H98" s="13">
        <f>SUM(Tabla13[[#This Row],[Balance corte Digecog]:[SALIDA]])</f>
        <v>281</v>
      </c>
      <c r="I98" s="14">
        <v>30.37</v>
      </c>
      <c r="J98" s="15">
        <f>177*30.37</f>
        <v>5375.49</v>
      </c>
      <c r="K98" s="7">
        <v>45198</v>
      </c>
    </row>
    <row r="99" spans="1:11" x14ac:dyDescent="0.3">
      <c r="A99" s="8" t="s">
        <v>17</v>
      </c>
      <c r="B99" s="11" t="s">
        <v>105</v>
      </c>
      <c r="C99" s="8" t="s">
        <v>22</v>
      </c>
      <c r="D99" s="12">
        <v>45105</v>
      </c>
      <c r="E99" s="8">
        <v>0</v>
      </c>
      <c r="F99" s="8">
        <v>12</v>
      </c>
      <c r="G99" s="8">
        <v>-12</v>
      </c>
      <c r="H99" s="13">
        <f>SUM(Tabla13[[#This Row],[Balance corte Digecog]:[SALIDA]])</f>
        <v>0</v>
      </c>
      <c r="I99" s="14">
        <v>79</v>
      </c>
      <c r="J99" s="15">
        <f t="shared" ref="J99:J105" si="2">+H99*I99</f>
        <v>0</v>
      </c>
      <c r="K99" s="7">
        <v>45198</v>
      </c>
    </row>
    <row r="100" spans="1:11" x14ac:dyDescent="0.3">
      <c r="A100" s="8" t="s">
        <v>17</v>
      </c>
      <c r="B100" s="11" t="s">
        <v>105</v>
      </c>
      <c r="C100" s="8" t="s">
        <v>22</v>
      </c>
      <c r="D100" s="12">
        <v>45145</v>
      </c>
      <c r="E100" s="8">
        <v>0</v>
      </c>
      <c r="F100" s="8">
        <v>9</v>
      </c>
      <c r="G100" s="8">
        <v>-9</v>
      </c>
      <c r="H100" s="13">
        <f>SUM(Tabla13[[#This Row],[Balance corte Digecog]:[SALIDA]])</f>
        <v>0</v>
      </c>
      <c r="I100" s="14">
        <v>59</v>
      </c>
      <c r="J100" s="15">
        <f>+H100*I100</f>
        <v>0</v>
      </c>
      <c r="K100" s="7">
        <v>45198</v>
      </c>
    </row>
    <row r="101" spans="1:11" x14ac:dyDescent="0.3">
      <c r="A101" s="8" t="s">
        <v>17</v>
      </c>
      <c r="B101" s="11" t="s">
        <v>105</v>
      </c>
      <c r="C101" s="8" t="s">
        <v>106</v>
      </c>
      <c r="D101" s="12">
        <v>45156</v>
      </c>
      <c r="E101" s="8">
        <v>0</v>
      </c>
      <c r="F101" s="8">
        <v>200</v>
      </c>
      <c r="G101" s="8">
        <v>-77</v>
      </c>
      <c r="H101" s="13">
        <f>SUM(Tabla13[[#This Row],[Balance corte Digecog]:[SALIDA]])</f>
        <v>123</v>
      </c>
      <c r="I101" s="14"/>
      <c r="J101" s="15">
        <f>+H101*I101</f>
        <v>0</v>
      </c>
      <c r="K101" s="7">
        <v>45198</v>
      </c>
    </row>
    <row r="102" spans="1:11" x14ac:dyDescent="0.3">
      <c r="A102" s="16" t="s">
        <v>64</v>
      </c>
      <c r="B102" s="11" t="s">
        <v>107</v>
      </c>
      <c r="C102" s="8" t="s">
        <v>10</v>
      </c>
      <c r="D102" s="8"/>
      <c r="E102" s="8">
        <v>12</v>
      </c>
      <c r="F102" s="8">
        <v>0</v>
      </c>
      <c r="G102" s="8">
        <v>-12</v>
      </c>
      <c r="H102" s="13">
        <f>SUM(Tabla13[[#This Row],[Balance corte Digecog]:[SALIDA]])</f>
        <v>0</v>
      </c>
      <c r="I102" s="14">
        <v>255</v>
      </c>
      <c r="J102" s="15">
        <f t="shared" si="2"/>
        <v>0</v>
      </c>
      <c r="K102" s="7">
        <v>45198</v>
      </c>
    </row>
    <row r="103" spans="1:11" x14ac:dyDescent="0.3">
      <c r="A103" s="16" t="s">
        <v>64</v>
      </c>
      <c r="B103" s="11" t="s">
        <v>108</v>
      </c>
      <c r="C103" s="8" t="s">
        <v>10</v>
      </c>
      <c r="D103" s="8"/>
      <c r="E103" s="8">
        <v>8</v>
      </c>
      <c r="F103" s="8">
        <v>0</v>
      </c>
      <c r="G103" s="8">
        <v>-8</v>
      </c>
      <c r="H103" s="13">
        <f>SUM(Tabla13[[#This Row],[Balance corte Digecog]:[SALIDA]])</f>
        <v>0</v>
      </c>
      <c r="I103" s="14">
        <v>575</v>
      </c>
      <c r="J103" s="15">
        <f t="shared" si="2"/>
        <v>0</v>
      </c>
      <c r="K103" s="7">
        <v>45198</v>
      </c>
    </row>
    <row r="104" spans="1:11" x14ac:dyDescent="0.3">
      <c r="A104" s="16" t="s">
        <v>64</v>
      </c>
      <c r="B104" s="11" t="s">
        <v>109</v>
      </c>
      <c r="C104" s="8" t="s">
        <v>10</v>
      </c>
      <c r="D104" s="8"/>
      <c r="E104" s="8">
        <v>6</v>
      </c>
      <c r="F104" s="8">
        <v>0</v>
      </c>
      <c r="G104" s="8">
        <v>-6</v>
      </c>
      <c r="H104" s="13">
        <f>SUM(Tabla13[[#This Row],[Balance corte Digecog]:[SALIDA]])</f>
        <v>0</v>
      </c>
      <c r="I104" s="14">
        <v>105</v>
      </c>
      <c r="J104" s="15">
        <f t="shared" si="2"/>
        <v>0</v>
      </c>
      <c r="K104" s="7">
        <v>45198</v>
      </c>
    </row>
    <row r="105" spans="1:11" ht="22.2" customHeight="1" x14ac:dyDescent="0.3">
      <c r="A105" s="16" t="s">
        <v>64</v>
      </c>
      <c r="B105" s="11" t="s">
        <v>110</v>
      </c>
      <c r="C105" s="8" t="s">
        <v>10</v>
      </c>
      <c r="D105" s="8"/>
      <c r="E105" s="8">
        <v>2</v>
      </c>
      <c r="F105" s="8">
        <v>0</v>
      </c>
      <c r="G105" s="8">
        <v>-2</v>
      </c>
      <c r="H105" s="13">
        <f>SUM(Tabla13[[#This Row],[Balance corte Digecog]:[SALIDA]])</f>
        <v>0</v>
      </c>
      <c r="I105" s="14">
        <v>131</v>
      </c>
      <c r="J105" s="15">
        <f t="shared" si="2"/>
        <v>0</v>
      </c>
      <c r="K105" s="7">
        <v>45198</v>
      </c>
    </row>
    <row r="106" spans="1:11" ht="16.8" customHeight="1" x14ac:dyDescent="0.3">
      <c r="A106" s="16"/>
      <c r="B106" s="11" t="s">
        <v>111</v>
      </c>
      <c r="C106" s="8" t="s">
        <v>10</v>
      </c>
      <c r="D106" s="12">
        <v>45127</v>
      </c>
      <c r="E106" s="8">
        <v>0</v>
      </c>
      <c r="F106" s="8">
        <v>60</v>
      </c>
      <c r="G106" s="8">
        <v>-23</v>
      </c>
      <c r="H106" s="13">
        <f>SUM(Tabla13[[#This Row],[Balance corte Digecog]:[SALIDA]])</f>
        <v>37</v>
      </c>
      <c r="I106" s="14">
        <v>19.5</v>
      </c>
      <c r="J106" s="15">
        <f t="shared" ref="J106:J112" si="3">+H106*I106</f>
        <v>721.5</v>
      </c>
      <c r="K106" s="7">
        <v>45198</v>
      </c>
    </row>
    <row r="107" spans="1:11" ht="22.2" customHeight="1" x14ac:dyDescent="0.3">
      <c r="A107" s="61"/>
      <c r="B107" s="62" t="s">
        <v>421</v>
      </c>
      <c r="C107" s="63" t="s">
        <v>10</v>
      </c>
      <c r="D107" s="12">
        <v>45142</v>
      </c>
      <c r="E107" s="63">
        <v>0</v>
      </c>
      <c r="F107" s="63">
        <v>1</v>
      </c>
      <c r="G107" s="63">
        <v>-1</v>
      </c>
      <c r="H107" s="64">
        <f>SUM(Tabla13[[#This Row],[Balance corte Digecog]:[SALIDA]])</f>
        <v>0</v>
      </c>
      <c r="I107" s="65">
        <v>16000</v>
      </c>
      <c r="J107" s="15">
        <f t="shared" si="3"/>
        <v>0</v>
      </c>
      <c r="K107" s="66"/>
    </row>
    <row r="108" spans="1:11" ht="18" customHeight="1" x14ac:dyDescent="0.3">
      <c r="A108" s="61"/>
      <c r="B108" s="62" t="s">
        <v>422</v>
      </c>
      <c r="C108" s="63" t="s">
        <v>10</v>
      </c>
      <c r="D108" s="12">
        <v>45142</v>
      </c>
      <c r="E108" s="63">
        <v>0</v>
      </c>
      <c r="F108" s="63">
        <v>1</v>
      </c>
      <c r="G108" s="63">
        <v>-1</v>
      </c>
      <c r="H108" s="64">
        <f>SUM(Tabla13[[#This Row],[Balance corte Digecog]:[SALIDA]])</f>
        <v>0</v>
      </c>
      <c r="I108" s="65">
        <v>28000</v>
      </c>
      <c r="J108" s="15">
        <f t="shared" si="3"/>
        <v>0</v>
      </c>
      <c r="K108" s="66"/>
    </row>
    <row r="109" spans="1:11" x14ac:dyDescent="0.3">
      <c r="A109" s="61"/>
      <c r="B109" s="62" t="s">
        <v>423</v>
      </c>
      <c r="C109" s="63" t="s">
        <v>424</v>
      </c>
      <c r="D109" s="12">
        <v>45142</v>
      </c>
      <c r="E109" s="63">
        <v>0</v>
      </c>
      <c r="F109" s="63">
        <v>1</v>
      </c>
      <c r="G109" s="63">
        <v>-1</v>
      </c>
      <c r="H109" s="64">
        <f>SUM(Tabla13[[#This Row],[Balance corte Digecog]:[SALIDA]])</f>
        <v>0</v>
      </c>
      <c r="I109" s="65">
        <v>17275</v>
      </c>
      <c r="J109" s="15">
        <f t="shared" si="3"/>
        <v>0</v>
      </c>
      <c r="K109" s="66"/>
    </row>
    <row r="110" spans="1:11" ht="24" x14ac:dyDescent="0.3">
      <c r="A110" s="61"/>
      <c r="B110" s="62" t="s">
        <v>425</v>
      </c>
      <c r="C110" s="63" t="s">
        <v>426</v>
      </c>
      <c r="D110" s="12">
        <v>45142</v>
      </c>
      <c r="E110" s="63">
        <v>0</v>
      </c>
      <c r="F110" s="63">
        <v>1</v>
      </c>
      <c r="G110" s="63">
        <v>-1</v>
      </c>
      <c r="H110" s="64">
        <f>SUM(Tabla13[[#This Row],[Balance corte Digecog]:[SALIDA]])</f>
        <v>0</v>
      </c>
      <c r="I110" s="65">
        <v>15875</v>
      </c>
      <c r="J110" s="15">
        <f t="shared" si="3"/>
        <v>0</v>
      </c>
      <c r="K110" s="66"/>
    </row>
    <row r="111" spans="1:11" ht="30" customHeight="1" x14ac:dyDescent="0.3">
      <c r="A111" s="61"/>
      <c r="B111" s="62" t="s">
        <v>427</v>
      </c>
      <c r="C111" s="63" t="s">
        <v>426</v>
      </c>
      <c r="D111" s="12">
        <v>45142</v>
      </c>
      <c r="E111" s="63">
        <v>0</v>
      </c>
      <c r="F111" s="63">
        <v>1</v>
      </c>
      <c r="G111" s="63">
        <v>-1</v>
      </c>
      <c r="H111" s="64">
        <f>SUM(Tabla13[[#This Row],[Balance corte Digecog]:[SALIDA]])</f>
        <v>0</v>
      </c>
      <c r="I111" s="65">
        <v>595</v>
      </c>
      <c r="J111" s="15">
        <f t="shared" si="3"/>
        <v>0</v>
      </c>
      <c r="K111" s="66"/>
    </row>
    <row r="112" spans="1:11" x14ac:dyDescent="0.3">
      <c r="A112" s="61"/>
      <c r="B112" s="62" t="s">
        <v>428</v>
      </c>
      <c r="C112" s="63" t="s">
        <v>426</v>
      </c>
      <c r="D112" s="12">
        <v>45142</v>
      </c>
      <c r="E112" s="63">
        <v>0</v>
      </c>
      <c r="F112" s="63">
        <v>1</v>
      </c>
      <c r="G112" s="63">
        <v>-1</v>
      </c>
      <c r="H112" s="64">
        <f>SUM(Tabla13[[#This Row],[Balance corte Digecog]:[SALIDA]])</f>
        <v>0</v>
      </c>
      <c r="I112" s="65">
        <v>1875</v>
      </c>
      <c r="J112" s="15">
        <f t="shared" si="3"/>
        <v>0</v>
      </c>
      <c r="K112" s="66"/>
    </row>
    <row r="113" spans="1:11" ht="22.2" customHeight="1" x14ac:dyDescent="0.3">
      <c r="A113" s="1" t="s">
        <v>64</v>
      </c>
      <c r="B113" s="11" t="s">
        <v>112</v>
      </c>
      <c r="C113" s="8" t="s">
        <v>10</v>
      </c>
      <c r="D113" s="12">
        <v>45097</v>
      </c>
      <c r="E113" s="8">
        <v>10</v>
      </c>
      <c r="F113" s="8">
        <v>0</v>
      </c>
      <c r="G113" s="8">
        <v>-2</v>
      </c>
      <c r="H113" s="13">
        <f>SUM(Tabla13[[#This Row],[Balance corte Digecog]:[SALIDA]])</f>
        <v>8</v>
      </c>
      <c r="I113" s="14">
        <v>4050</v>
      </c>
      <c r="J113" s="15">
        <f>8*4050</f>
        <v>32400</v>
      </c>
      <c r="K113" s="7">
        <v>45198</v>
      </c>
    </row>
    <row r="114" spans="1:11" ht="34.200000000000003" customHeight="1" x14ac:dyDescent="0.3">
      <c r="A114" s="1" t="s">
        <v>64</v>
      </c>
      <c r="B114" s="11" t="s">
        <v>113</v>
      </c>
      <c r="C114" s="8" t="s">
        <v>10</v>
      </c>
      <c r="D114" s="12">
        <v>45177</v>
      </c>
      <c r="E114" s="8">
        <v>0</v>
      </c>
      <c r="F114" s="8">
        <v>30</v>
      </c>
      <c r="G114" s="8">
        <v>0</v>
      </c>
      <c r="H114" s="13">
        <f>SUM(Tabla13[[#This Row],[Balance corte Digecog]:[SALIDA]])</f>
        <v>30</v>
      </c>
      <c r="I114" s="14">
        <v>110</v>
      </c>
      <c r="J114" s="15">
        <f>+H114*I114</f>
        <v>3300</v>
      </c>
      <c r="K114" s="7">
        <v>45198</v>
      </c>
    </row>
    <row r="115" spans="1:11" ht="24" customHeight="1" x14ac:dyDescent="0.3">
      <c r="A115" s="17" t="s">
        <v>64</v>
      </c>
      <c r="B115" s="11" t="s">
        <v>114</v>
      </c>
      <c r="C115" s="8" t="s">
        <v>115</v>
      </c>
      <c r="D115" s="8"/>
      <c r="E115" s="8">
        <v>31</v>
      </c>
      <c r="F115" s="8">
        <v>0</v>
      </c>
      <c r="G115" s="8">
        <v>-31</v>
      </c>
      <c r="H115" s="13">
        <f>SUM(Tabla13[[#This Row],[Balance corte Digecog]:[SALIDA]])</f>
        <v>0</v>
      </c>
      <c r="I115" s="14">
        <v>23.83</v>
      </c>
      <c r="J115" s="15">
        <f>31*23.83</f>
        <v>738.7299999999999</v>
      </c>
      <c r="K115" s="7">
        <v>45198</v>
      </c>
    </row>
    <row r="116" spans="1:11" x14ac:dyDescent="0.3">
      <c r="A116" s="1" t="s">
        <v>13</v>
      </c>
      <c r="B116" s="11" t="s">
        <v>116</v>
      </c>
      <c r="C116" s="8" t="s">
        <v>10</v>
      </c>
      <c r="D116" s="12">
        <v>45163</v>
      </c>
      <c r="E116" s="8">
        <v>0</v>
      </c>
      <c r="F116" s="8">
        <v>1</v>
      </c>
      <c r="G116" s="8">
        <v>-1</v>
      </c>
      <c r="H116" s="13">
        <f>SUM(Tabla13[[#This Row],[Balance corte Digecog]:[SALIDA]])</f>
        <v>0</v>
      </c>
      <c r="I116" s="14">
        <v>16900</v>
      </c>
      <c r="J116" s="15">
        <f>+H116*I116</f>
        <v>0</v>
      </c>
      <c r="K116" s="7">
        <v>45198</v>
      </c>
    </row>
    <row r="117" spans="1:11" x14ac:dyDescent="0.3">
      <c r="A117" s="8" t="s">
        <v>17</v>
      </c>
      <c r="B117" s="11" t="s">
        <v>117</v>
      </c>
      <c r="C117" s="8" t="s">
        <v>22</v>
      </c>
      <c r="D117" s="8"/>
      <c r="E117" s="8">
        <v>16</v>
      </c>
      <c r="F117" s="8">
        <v>0</v>
      </c>
      <c r="G117" s="8">
        <v>-14</v>
      </c>
      <c r="H117" s="13">
        <f>SUM(Tabla13[[#This Row],[Balance corte Digecog]:[SALIDA]])</f>
        <v>2</v>
      </c>
      <c r="I117" s="14">
        <v>178</v>
      </c>
      <c r="J117" s="15">
        <f>16*178</f>
        <v>2848</v>
      </c>
      <c r="K117" s="7">
        <v>45198</v>
      </c>
    </row>
    <row r="118" spans="1:11" x14ac:dyDescent="0.3">
      <c r="A118" s="8" t="s">
        <v>17</v>
      </c>
      <c r="B118" s="11" t="s">
        <v>118</v>
      </c>
      <c r="C118" s="8" t="s">
        <v>22</v>
      </c>
      <c r="D118" s="12">
        <v>45166</v>
      </c>
      <c r="E118" s="8">
        <v>0</v>
      </c>
      <c r="F118" s="8">
        <v>250</v>
      </c>
      <c r="G118" s="8">
        <v>-52</v>
      </c>
      <c r="H118" s="13">
        <f>SUM(Tabla13[[#This Row],[Balance corte Digecog]:[SALIDA]])</f>
        <v>198</v>
      </c>
      <c r="I118" s="14">
        <v>78</v>
      </c>
      <c r="J118" s="15">
        <f>+H118*I118</f>
        <v>15444</v>
      </c>
      <c r="K118" s="7">
        <v>45198</v>
      </c>
    </row>
    <row r="119" spans="1:11" x14ac:dyDescent="0.3">
      <c r="A119" s="8" t="s">
        <v>17</v>
      </c>
      <c r="B119" s="11" t="s">
        <v>119</v>
      </c>
      <c r="C119" s="8" t="s">
        <v>120</v>
      </c>
      <c r="D119" s="8"/>
      <c r="E119" s="8">
        <v>120</v>
      </c>
      <c r="F119" s="8">
        <v>0</v>
      </c>
      <c r="G119" s="8">
        <v>-90</v>
      </c>
      <c r="H119" s="13">
        <f>SUM(Tabla13[[#This Row],[Balance corte Digecog]:[SALIDA]])</f>
        <v>30</v>
      </c>
      <c r="I119" s="14">
        <v>39.14</v>
      </c>
      <c r="J119" s="15">
        <f>39.14*90</f>
        <v>3522.6</v>
      </c>
      <c r="K119" s="7">
        <v>45198</v>
      </c>
    </row>
    <row r="120" spans="1:11" x14ac:dyDescent="0.3">
      <c r="A120" s="8" t="s">
        <v>17</v>
      </c>
      <c r="B120" s="11" t="s">
        <v>121</v>
      </c>
      <c r="C120" s="8" t="s">
        <v>122</v>
      </c>
      <c r="D120" s="12">
        <v>45170</v>
      </c>
      <c r="E120" s="8">
        <v>0</v>
      </c>
      <c r="F120" s="8">
        <v>15</v>
      </c>
      <c r="G120" s="8">
        <v>-1</v>
      </c>
      <c r="H120" s="13">
        <f>SUM(Tabla13[[#This Row],[Balance corte Digecog]:[SALIDA]])</f>
        <v>14</v>
      </c>
      <c r="I120" s="14">
        <v>950</v>
      </c>
      <c r="J120" s="15">
        <f>+H120*I120</f>
        <v>13300</v>
      </c>
      <c r="K120" s="7">
        <v>45198</v>
      </c>
    </row>
    <row r="121" spans="1:11" x14ac:dyDescent="0.3">
      <c r="A121" s="1" t="s">
        <v>29</v>
      </c>
      <c r="B121" s="11" t="s">
        <v>123</v>
      </c>
      <c r="C121" s="8" t="s">
        <v>10</v>
      </c>
      <c r="D121" s="8"/>
      <c r="E121" s="8">
        <v>4</v>
      </c>
      <c r="F121" s="8">
        <v>0</v>
      </c>
      <c r="G121" s="8">
        <v>-4</v>
      </c>
      <c r="H121" s="13">
        <f>SUM(Tabla13[[#This Row],[Balance corte Digecog]:[SALIDA]])</f>
        <v>0</v>
      </c>
      <c r="I121" s="14">
        <v>111.53</v>
      </c>
      <c r="J121" s="15">
        <f>111.53*4</f>
        <v>446.12</v>
      </c>
      <c r="K121" s="7">
        <v>45198</v>
      </c>
    </row>
    <row r="122" spans="1:11" x14ac:dyDescent="0.3">
      <c r="A122" s="1" t="s">
        <v>64</v>
      </c>
      <c r="B122" s="11" t="s">
        <v>124</v>
      </c>
      <c r="C122" s="8" t="s">
        <v>10</v>
      </c>
      <c r="D122" s="8"/>
      <c r="E122" s="8">
        <v>32</v>
      </c>
      <c r="F122" s="8">
        <v>0</v>
      </c>
      <c r="G122" s="8">
        <v>0</v>
      </c>
      <c r="H122" s="13">
        <f>SUM(Tabla13[[#This Row],[Balance corte Digecog]:[SALIDA]])</f>
        <v>32</v>
      </c>
      <c r="I122" s="14">
        <v>17</v>
      </c>
      <c r="J122" s="15">
        <f>17*32</f>
        <v>544</v>
      </c>
      <c r="K122" s="7">
        <v>45198</v>
      </c>
    </row>
    <row r="123" spans="1:11" x14ac:dyDescent="0.3">
      <c r="A123" s="1"/>
      <c r="B123" s="11" t="s">
        <v>125</v>
      </c>
      <c r="C123" s="8" t="s">
        <v>10</v>
      </c>
      <c r="D123" s="12">
        <v>45184</v>
      </c>
      <c r="E123" s="8">
        <v>0</v>
      </c>
      <c r="F123" s="8">
        <v>6</v>
      </c>
      <c r="G123" s="8">
        <v>-6</v>
      </c>
      <c r="H123" s="13">
        <f>SUM(Tabla13[[#This Row],[Balance corte Digecog]:[SALIDA]])</f>
        <v>0</v>
      </c>
      <c r="I123" s="14">
        <v>790</v>
      </c>
      <c r="J123" s="15">
        <f>+H123*I123</f>
        <v>0</v>
      </c>
      <c r="K123" s="7">
        <v>45198</v>
      </c>
    </row>
    <row r="124" spans="1:11" x14ac:dyDescent="0.3">
      <c r="A124" s="1"/>
      <c r="B124" s="11" t="s">
        <v>126</v>
      </c>
      <c r="C124" s="8" t="s">
        <v>10</v>
      </c>
      <c r="D124" s="12">
        <v>45184</v>
      </c>
      <c r="E124" s="8">
        <v>0</v>
      </c>
      <c r="F124" s="8">
        <v>60</v>
      </c>
      <c r="G124" s="8">
        <v>0</v>
      </c>
      <c r="H124" s="13">
        <f>SUM(Tabla13[[#This Row],[Balance corte Digecog]:[SALIDA]])</f>
        <v>60</v>
      </c>
      <c r="I124" s="14">
        <v>107.99</v>
      </c>
      <c r="J124" s="15">
        <f>+H124*I124</f>
        <v>6479.4</v>
      </c>
      <c r="K124" s="7">
        <v>45198</v>
      </c>
    </row>
    <row r="125" spans="1:11" ht="46.2" customHeight="1" x14ac:dyDescent="0.3">
      <c r="A125" s="8" t="s">
        <v>17</v>
      </c>
      <c r="B125" s="11" t="s">
        <v>127</v>
      </c>
      <c r="C125" s="8" t="s">
        <v>10</v>
      </c>
      <c r="D125" s="8"/>
      <c r="E125" s="8">
        <v>154</v>
      </c>
      <c r="F125" s="8">
        <v>0</v>
      </c>
      <c r="G125" s="8">
        <v>-10</v>
      </c>
      <c r="H125" s="13">
        <f>SUM(Tabla13[[#This Row],[Balance corte Digecog]:[SALIDA]])</f>
        <v>144</v>
      </c>
      <c r="I125" s="14">
        <v>150</v>
      </c>
      <c r="J125" s="15">
        <f>154*150</f>
        <v>23100</v>
      </c>
      <c r="K125" s="7">
        <v>45198</v>
      </c>
    </row>
    <row r="126" spans="1:11" ht="55.8" customHeight="1" x14ac:dyDescent="0.3">
      <c r="A126" s="8"/>
      <c r="B126" s="11" t="s">
        <v>128</v>
      </c>
      <c r="C126" s="8" t="s">
        <v>10</v>
      </c>
      <c r="D126" s="12">
        <v>45177</v>
      </c>
      <c r="E126" s="8">
        <v>0</v>
      </c>
      <c r="F126" s="8">
        <v>2</v>
      </c>
      <c r="G126" s="8">
        <v>-2</v>
      </c>
      <c r="H126" s="13">
        <f>SUM(Tabla13[[#This Row],[Balance corte Digecog]:[SALIDA]])</f>
        <v>0</v>
      </c>
      <c r="I126" s="14">
        <v>11200</v>
      </c>
      <c r="J126" s="15">
        <f>+H126*I126</f>
        <v>0</v>
      </c>
      <c r="K126" s="7">
        <v>45198</v>
      </c>
    </row>
    <row r="127" spans="1:11" ht="24" x14ac:dyDescent="0.3">
      <c r="A127" s="8"/>
      <c r="B127" s="11" t="s">
        <v>129</v>
      </c>
      <c r="C127" s="8" t="s">
        <v>10</v>
      </c>
      <c r="D127" s="12">
        <v>45177</v>
      </c>
      <c r="E127" s="8">
        <v>0</v>
      </c>
      <c r="F127" s="8">
        <v>10</v>
      </c>
      <c r="G127" s="8">
        <v>-10</v>
      </c>
      <c r="H127" s="13">
        <f>SUM(Tabla13[[#This Row],[Balance corte Digecog]:[SALIDA]])</f>
        <v>0</v>
      </c>
      <c r="I127" s="14">
        <v>9200</v>
      </c>
      <c r="J127" s="15">
        <f>+H127*I127</f>
        <v>0</v>
      </c>
      <c r="K127" s="7">
        <v>45198</v>
      </c>
    </row>
    <row r="128" spans="1:11" x14ac:dyDescent="0.3">
      <c r="A128" s="8" t="s">
        <v>17</v>
      </c>
      <c r="B128" s="11" t="s">
        <v>130</v>
      </c>
      <c r="C128" s="8" t="s">
        <v>10</v>
      </c>
      <c r="D128" s="12">
        <v>45089</v>
      </c>
      <c r="E128" s="8">
        <v>83</v>
      </c>
      <c r="F128" s="8">
        <v>0</v>
      </c>
      <c r="G128" s="8">
        <v>-12</v>
      </c>
      <c r="H128" s="13">
        <f>SUM(Tabla13[[#This Row],[Balance corte Digecog]:[SALIDA]])</f>
        <v>71</v>
      </c>
      <c r="I128" s="14">
        <v>17.7</v>
      </c>
      <c r="J128" s="15">
        <f>17.7*83</f>
        <v>1469.1</v>
      </c>
      <c r="K128" s="7">
        <v>45198</v>
      </c>
    </row>
    <row r="129" spans="1:11" x14ac:dyDescent="0.3">
      <c r="A129" s="8" t="s">
        <v>17</v>
      </c>
      <c r="B129" s="11" t="s">
        <v>130</v>
      </c>
      <c r="C129" s="8" t="s">
        <v>10</v>
      </c>
      <c r="D129" s="12">
        <v>45177</v>
      </c>
      <c r="E129" s="8">
        <v>0</v>
      </c>
      <c r="F129" s="8">
        <v>100</v>
      </c>
      <c r="G129" s="8">
        <v>0</v>
      </c>
      <c r="H129" s="13">
        <f>SUM(Tabla13[[#This Row],[Balance corte Digecog]:[SALIDA]])</f>
        <v>100</v>
      </c>
      <c r="I129" s="14">
        <v>10</v>
      </c>
      <c r="J129" s="15">
        <f>+H129*I129</f>
        <v>1000</v>
      </c>
      <c r="K129" s="7">
        <v>45198</v>
      </c>
    </row>
    <row r="130" spans="1:11" ht="24" x14ac:dyDescent="0.3">
      <c r="A130" s="8"/>
      <c r="B130" s="11" t="s">
        <v>131</v>
      </c>
      <c r="C130" s="8" t="s">
        <v>10</v>
      </c>
      <c r="D130" s="12">
        <v>45170</v>
      </c>
      <c r="E130" s="8">
        <v>0</v>
      </c>
      <c r="F130" s="8">
        <v>4</v>
      </c>
      <c r="G130" s="8">
        <v>-4</v>
      </c>
      <c r="H130" s="13">
        <f>SUM(Tabla13[[#This Row],[Balance corte Digecog]:[SALIDA]])</f>
        <v>0</v>
      </c>
      <c r="I130" s="14">
        <v>18644.07</v>
      </c>
      <c r="J130" s="15">
        <f>+H130*I130</f>
        <v>0</v>
      </c>
      <c r="K130" s="7">
        <v>45198</v>
      </c>
    </row>
    <row r="131" spans="1:11" x14ac:dyDescent="0.3">
      <c r="A131" s="1" t="s">
        <v>132</v>
      </c>
      <c r="B131" s="11" t="s">
        <v>133</v>
      </c>
      <c r="C131" s="8" t="s">
        <v>10</v>
      </c>
      <c r="D131" s="8"/>
      <c r="E131" s="8">
        <v>3</v>
      </c>
      <c r="F131" s="8">
        <v>0</v>
      </c>
      <c r="G131" s="8">
        <v>-2</v>
      </c>
      <c r="H131" s="13">
        <f>SUM(Tabla13[[#This Row],[Balance corte Digecog]:[SALIDA]])</f>
        <v>1</v>
      </c>
      <c r="I131" s="14">
        <v>98.15</v>
      </c>
      <c r="J131" s="15">
        <f>3*98.15</f>
        <v>294.45000000000005</v>
      </c>
      <c r="K131" s="7">
        <v>45198</v>
      </c>
    </row>
    <row r="132" spans="1:11" x14ac:dyDescent="0.3">
      <c r="A132" s="1"/>
      <c r="B132" s="11" t="s">
        <v>134</v>
      </c>
      <c r="C132" s="8" t="s">
        <v>10</v>
      </c>
      <c r="D132" s="12">
        <v>45118</v>
      </c>
      <c r="E132" s="8">
        <v>0</v>
      </c>
      <c r="F132" s="8">
        <v>60</v>
      </c>
      <c r="G132" s="8">
        <v>0</v>
      </c>
      <c r="H132" s="13">
        <f>SUM(Tabla13[[#This Row],[Balance corte Digecog]:[SALIDA]])</f>
        <v>60</v>
      </c>
      <c r="I132" s="14">
        <v>52.25</v>
      </c>
      <c r="J132" s="15">
        <f>+H132*I132</f>
        <v>3135</v>
      </c>
      <c r="K132" s="7">
        <v>45198</v>
      </c>
    </row>
    <row r="133" spans="1:11" x14ac:dyDescent="0.3">
      <c r="A133" s="1" t="s">
        <v>29</v>
      </c>
      <c r="B133" s="11" t="s">
        <v>135</v>
      </c>
      <c r="C133" s="8" t="s">
        <v>10</v>
      </c>
      <c r="D133" s="8"/>
      <c r="E133" s="8">
        <v>28</v>
      </c>
      <c r="F133" s="8">
        <v>0</v>
      </c>
      <c r="G133" s="8">
        <v>-5</v>
      </c>
      <c r="H133" s="13">
        <f>SUM(Tabla13[[#This Row],[Balance corte Digecog]:[SALIDA]])</f>
        <v>23</v>
      </c>
      <c r="I133" s="14">
        <v>36.25</v>
      </c>
      <c r="J133" s="15">
        <f>28*36.25</f>
        <v>1015</v>
      </c>
      <c r="K133" s="7">
        <v>45198</v>
      </c>
    </row>
    <row r="134" spans="1:11" x14ac:dyDescent="0.3">
      <c r="A134" s="1" t="s">
        <v>64</v>
      </c>
      <c r="B134" s="11" t="s">
        <v>136</v>
      </c>
      <c r="C134" s="8" t="s">
        <v>10</v>
      </c>
      <c r="D134" s="8"/>
      <c r="E134" s="8">
        <v>2</v>
      </c>
      <c r="F134" s="8">
        <v>0</v>
      </c>
      <c r="G134" s="8">
        <v>-2</v>
      </c>
      <c r="H134" s="13">
        <f>SUM(Tabla13[[#This Row],[Balance corte Digecog]:[SALIDA]])</f>
        <v>0</v>
      </c>
      <c r="I134" s="14">
        <v>5988</v>
      </c>
      <c r="J134" s="15">
        <f>2*5988</f>
        <v>11976</v>
      </c>
      <c r="K134" s="7">
        <v>45198</v>
      </c>
    </row>
    <row r="135" spans="1:11" x14ac:dyDescent="0.3">
      <c r="A135" s="1" t="s">
        <v>8</v>
      </c>
      <c r="B135" s="11" t="s">
        <v>137</v>
      </c>
      <c r="C135" s="8" t="s">
        <v>103</v>
      </c>
      <c r="D135" s="8"/>
      <c r="E135" s="8">
        <v>99</v>
      </c>
      <c r="F135" s="8">
        <v>0</v>
      </c>
      <c r="G135" s="8">
        <v>-62</v>
      </c>
      <c r="H135" s="13">
        <f>SUM(Tabla13[[#This Row],[Balance corte Digecog]:[SALIDA]])</f>
        <v>37</v>
      </c>
      <c r="I135" s="14">
        <v>750</v>
      </c>
      <c r="J135" s="15">
        <f>99*750</f>
        <v>74250</v>
      </c>
      <c r="K135" s="7">
        <v>45198</v>
      </c>
    </row>
    <row r="136" spans="1:11" x14ac:dyDescent="0.3">
      <c r="A136" s="1" t="s">
        <v>8</v>
      </c>
      <c r="B136" s="11" t="s">
        <v>138</v>
      </c>
      <c r="C136" s="8" t="s">
        <v>103</v>
      </c>
      <c r="D136" s="8"/>
      <c r="E136" s="8">
        <v>55</v>
      </c>
      <c r="F136" s="8">
        <v>0</v>
      </c>
      <c r="G136" s="8">
        <v>-28</v>
      </c>
      <c r="H136" s="13">
        <f>SUM(Tabla13[[#This Row],[Balance corte Digecog]:[SALIDA]])</f>
        <v>27</v>
      </c>
      <c r="I136" s="14">
        <v>400</v>
      </c>
      <c r="J136" s="15">
        <f>55*400</f>
        <v>22000</v>
      </c>
      <c r="K136" s="7">
        <v>45198</v>
      </c>
    </row>
    <row r="137" spans="1:11" x14ac:dyDescent="0.3">
      <c r="A137" s="1" t="s">
        <v>8</v>
      </c>
      <c r="B137" s="11" t="s">
        <v>139</v>
      </c>
      <c r="C137" s="8" t="s">
        <v>103</v>
      </c>
      <c r="D137" s="8"/>
      <c r="E137" s="8">
        <v>100</v>
      </c>
      <c r="F137" s="8">
        <v>0</v>
      </c>
      <c r="G137" s="8">
        <v>-18</v>
      </c>
      <c r="H137" s="13">
        <f>SUM(Tabla13[[#This Row],[Balance corte Digecog]:[SALIDA]])</f>
        <v>82</v>
      </c>
      <c r="I137" s="14">
        <v>435.59</v>
      </c>
      <c r="J137" s="15">
        <f>100*435.59</f>
        <v>43559</v>
      </c>
      <c r="K137" s="7">
        <v>45198</v>
      </c>
    </row>
    <row r="138" spans="1:11" x14ac:dyDescent="0.3">
      <c r="A138" s="1" t="s">
        <v>8</v>
      </c>
      <c r="B138" s="11" t="s">
        <v>140</v>
      </c>
      <c r="C138" s="8" t="s">
        <v>141</v>
      </c>
      <c r="D138" s="8"/>
      <c r="E138" s="8">
        <v>60</v>
      </c>
      <c r="F138" s="8">
        <v>0</v>
      </c>
      <c r="G138" s="8">
        <v>-14</v>
      </c>
      <c r="H138" s="13">
        <f>SUM(Tabla13[[#This Row],[Balance corte Digecog]:[SALIDA]])</f>
        <v>46</v>
      </c>
      <c r="I138" s="14">
        <v>317.8</v>
      </c>
      <c r="J138" s="15">
        <f>60*317.8</f>
        <v>19068</v>
      </c>
      <c r="K138" s="7">
        <v>45198</v>
      </c>
    </row>
    <row r="139" spans="1:11" x14ac:dyDescent="0.3">
      <c r="A139" s="1" t="s">
        <v>8</v>
      </c>
      <c r="B139" s="11" t="s">
        <v>142</v>
      </c>
      <c r="C139" s="8" t="s">
        <v>103</v>
      </c>
      <c r="D139" s="8"/>
      <c r="E139" s="8">
        <v>20</v>
      </c>
      <c r="F139" s="8">
        <v>16</v>
      </c>
      <c r="G139" s="8">
        <v>0</v>
      </c>
      <c r="H139" s="13">
        <f>SUM(Tabla13[[#This Row],[Balance corte Digecog]:[SALIDA]])</f>
        <v>36</v>
      </c>
      <c r="I139" s="14">
        <v>538.14</v>
      </c>
      <c r="J139" s="15">
        <f>20*538.14</f>
        <v>10762.8</v>
      </c>
      <c r="K139" s="7">
        <v>45198</v>
      </c>
    </row>
    <row r="140" spans="1:11" x14ac:dyDescent="0.3">
      <c r="A140" s="1" t="s">
        <v>8</v>
      </c>
      <c r="B140" s="11" t="s">
        <v>143</v>
      </c>
      <c r="C140" s="8" t="s">
        <v>144</v>
      </c>
      <c r="D140" s="8"/>
      <c r="E140" s="8">
        <v>2</v>
      </c>
      <c r="F140" s="8">
        <v>0</v>
      </c>
      <c r="G140" s="8">
        <v>0</v>
      </c>
      <c r="H140" s="13">
        <f>SUM(Tabla13[[#This Row],[Balance corte Digecog]:[SALIDA]])</f>
        <v>2</v>
      </c>
      <c r="I140" s="14">
        <v>550</v>
      </c>
      <c r="J140" s="15">
        <f>2*550</f>
        <v>1100</v>
      </c>
      <c r="K140" s="7">
        <v>45198</v>
      </c>
    </row>
    <row r="141" spans="1:11" x14ac:dyDescent="0.3">
      <c r="A141" s="1" t="s">
        <v>64</v>
      </c>
      <c r="B141" s="11" t="s">
        <v>145</v>
      </c>
      <c r="C141" s="8" t="s">
        <v>146</v>
      </c>
      <c r="D141" s="8"/>
      <c r="E141" s="8">
        <v>120</v>
      </c>
      <c r="F141" s="8">
        <v>0</v>
      </c>
      <c r="G141" s="8">
        <v>-120</v>
      </c>
      <c r="H141" s="13">
        <f>SUM(Tabla13[[#This Row],[Balance corte Digecog]:[SALIDA]])</f>
        <v>0</v>
      </c>
      <c r="I141" s="14">
        <v>280</v>
      </c>
      <c r="J141" s="15">
        <f>120*280</f>
        <v>33600</v>
      </c>
      <c r="K141" s="7">
        <v>45198</v>
      </c>
    </row>
    <row r="142" spans="1:11" x14ac:dyDescent="0.3">
      <c r="A142" s="1" t="s">
        <v>64</v>
      </c>
      <c r="B142" s="11" t="s">
        <v>147</v>
      </c>
      <c r="C142" s="8" t="s">
        <v>146</v>
      </c>
      <c r="D142" s="8"/>
      <c r="E142" s="8">
        <v>0</v>
      </c>
      <c r="F142" s="8">
        <v>150</v>
      </c>
      <c r="G142" s="8">
        <v>-45</v>
      </c>
      <c r="H142" s="13">
        <f>SUM(Tabla13[[#This Row],[Balance corte Digecog]:[SALIDA]])</f>
        <v>105</v>
      </c>
      <c r="I142" s="14">
        <v>331</v>
      </c>
      <c r="J142" s="15">
        <f>331*150</f>
        <v>49650</v>
      </c>
      <c r="K142" s="7">
        <v>45198</v>
      </c>
    </row>
    <row r="143" spans="1:11" x14ac:dyDescent="0.3">
      <c r="A143" s="1" t="s">
        <v>64</v>
      </c>
      <c r="B143" s="11" t="s">
        <v>148</v>
      </c>
      <c r="C143" s="8" t="s">
        <v>146</v>
      </c>
      <c r="D143" s="8"/>
      <c r="E143" s="8">
        <v>190</v>
      </c>
      <c r="F143" s="8">
        <v>0</v>
      </c>
      <c r="G143" s="8">
        <v>-119</v>
      </c>
      <c r="H143" s="13">
        <f>SUM(Tabla13[[#This Row],[Balance corte Digecog]:[SALIDA]])</f>
        <v>71</v>
      </c>
      <c r="I143" s="14">
        <v>550</v>
      </c>
      <c r="J143" s="15">
        <f>190*550</f>
        <v>104500</v>
      </c>
      <c r="K143" s="7">
        <v>45198</v>
      </c>
    </row>
    <row r="144" spans="1:11" x14ac:dyDescent="0.3">
      <c r="A144" s="10" t="s">
        <v>36</v>
      </c>
      <c r="B144" s="11" t="s">
        <v>149</v>
      </c>
      <c r="C144" s="8" t="s">
        <v>10</v>
      </c>
      <c r="D144" s="12">
        <v>45089</v>
      </c>
      <c r="E144" s="8">
        <v>0</v>
      </c>
      <c r="F144" s="8">
        <v>10</v>
      </c>
      <c r="G144" s="8">
        <v>-10</v>
      </c>
      <c r="H144" s="13">
        <f>SUM(Tabla13[[#This Row],[Balance corte Digecog]:[SALIDA]])</f>
        <v>0</v>
      </c>
      <c r="I144" s="14">
        <v>2800</v>
      </c>
      <c r="J144" s="15">
        <f>+H144*I144</f>
        <v>0</v>
      </c>
      <c r="K144" s="7">
        <v>45198</v>
      </c>
    </row>
    <row r="145" spans="1:11" x14ac:dyDescent="0.3">
      <c r="A145" s="10" t="s">
        <v>36</v>
      </c>
      <c r="B145" s="11" t="s">
        <v>150</v>
      </c>
      <c r="C145" s="8" t="s">
        <v>10</v>
      </c>
      <c r="D145" s="12">
        <v>45089</v>
      </c>
      <c r="E145" s="8">
        <v>0</v>
      </c>
      <c r="F145" s="8">
        <v>30</v>
      </c>
      <c r="G145" s="8">
        <v>-30</v>
      </c>
      <c r="H145" s="13">
        <f>SUM(Tabla13[[#This Row],[Balance corte Digecog]:[SALIDA]])</f>
        <v>0</v>
      </c>
      <c r="I145" s="14">
        <v>2800</v>
      </c>
      <c r="J145" s="15">
        <f>+H145*I145</f>
        <v>0</v>
      </c>
      <c r="K145" s="7">
        <v>45198</v>
      </c>
    </row>
    <row r="146" spans="1:11" x14ac:dyDescent="0.3">
      <c r="A146" s="18" t="s">
        <v>36</v>
      </c>
      <c r="B146" s="11" t="s">
        <v>151</v>
      </c>
      <c r="C146" s="8" t="s">
        <v>10</v>
      </c>
      <c r="D146" s="12">
        <v>45089</v>
      </c>
      <c r="E146" s="8">
        <v>0</v>
      </c>
      <c r="F146" s="8">
        <v>20</v>
      </c>
      <c r="G146" s="8">
        <v>-20</v>
      </c>
      <c r="H146" s="13">
        <f>SUM(Tabla13[[#This Row],[Balance corte Digecog]:[SALIDA]])</f>
        <v>0</v>
      </c>
      <c r="I146" s="14">
        <v>2800</v>
      </c>
      <c r="J146" s="15">
        <f>+H146*I146</f>
        <v>0</v>
      </c>
      <c r="K146" s="7">
        <v>45198</v>
      </c>
    </row>
    <row r="147" spans="1:11" x14ac:dyDescent="0.3">
      <c r="A147" s="16" t="s">
        <v>29</v>
      </c>
      <c r="B147" s="11" t="s">
        <v>152</v>
      </c>
      <c r="C147" s="8" t="s">
        <v>153</v>
      </c>
      <c r="D147" s="8"/>
      <c r="E147" s="8">
        <v>19</v>
      </c>
      <c r="F147" s="8">
        <v>0</v>
      </c>
      <c r="G147" s="8">
        <v>0</v>
      </c>
      <c r="H147" s="13">
        <f>SUM(Tabla13[[#This Row],[Balance corte Digecog]:[SALIDA]])</f>
        <v>19</v>
      </c>
      <c r="I147" s="14">
        <v>165</v>
      </c>
      <c r="J147" s="15">
        <f>165*19</f>
        <v>3135</v>
      </c>
      <c r="K147" s="7">
        <v>45198</v>
      </c>
    </row>
    <row r="148" spans="1:11" x14ac:dyDescent="0.3">
      <c r="A148" s="16" t="s">
        <v>154</v>
      </c>
      <c r="B148" s="11" t="s">
        <v>155</v>
      </c>
      <c r="C148" s="8" t="s">
        <v>10</v>
      </c>
      <c r="D148" s="8"/>
      <c r="E148" s="8">
        <v>28</v>
      </c>
      <c r="F148" s="8">
        <v>0</v>
      </c>
      <c r="G148" s="8">
        <v>0</v>
      </c>
      <c r="H148" s="13">
        <f>SUM(Tabla13[[#This Row],[Balance corte Digecog]:[SALIDA]])</f>
        <v>28</v>
      </c>
      <c r="I148" s="14">
        <v>235</v>
      </c>
      <c r="J148" s="15">
        <f>28*235</f>
        <v>6580</v>
      </c>
      <c r="K148" s="7">
        <v>45198</v>
      </c>
    </row>
    <row r="149" spans="1:11" x14ac:dyDescent="0.3">
      <c r="A149" s="1" t="s">
        <v>29</v>
      </c>
      <c r="B149" s="11" t="s">
        <v>156</v>
      </c>
      <c r="C149" s="8" t="s">
        <v>10</v>
      </c>
      <c r="D149" s="8"/>
      <c r="E149" s="8">
        <v>13</v>
      </c>
      <c r="F149" s="8">
        <v>0</v>
      </c>
      <c r="G149" s="8">
        <v>-13</v>
      </c>
      <c r="H149" s="13">
        <f>SUM(Tabla13[[#This Row],[Balance corte Digecog]:[SALIDA]])</f>
        <v>0</v>
      </c>
      <c r="I149" s="14">
        <v>8</v>
      </c>
      <c r="J149" s="15">
        <f>13*8</f>
        <v>104</v>
      </c>
      <c r="K149" s="7">
        <v>45198</v>
      </c>
    </row>
    <row r="150" spans="1:11" ht="27" customHeight="1" x14ac:dyDescent="0.3">
      <c r="A150" s="1" t="s">
        <v>29</v>
      </c>
      <c r="B150" s="11" t="s">
        <v>157</v>
      </c>
      <c r="C150" s="8" t="s">
        <v>10</v>
      </c>
      <c r="D150" s="12">
        <v>45127</v>
      </c>
      <c r="E150" s="8">
        <v>0</v>
      </c>
      <c r="F150" s="8">
        <v>60</v>
      </c>
      <c r="G150" s="8">
        <v>-12</v>
      </c>
      <c r="H150" s="13">
        <f>SUM(Tabla13[[#This Row],[Balance corte Digecog]:[SALIDA]])</f>
        <v>48</v>
      </c>
      <c r="I150" s="14">
        <v>3.9</v>
      </c>
      <c r="J150" s="15">
        <f>+H150*I150</f>
        <v>187.2</v>
      </c>
      <c r="K150" s="7">
        <v>45198</v>
      </c>
    </row>
    <row r="151" spans="1:11" ht="27" customHeight="1" x14ac:dyDescent="0.3">
      <c r="A151" s="1" t="s">
        <v>29</v>
      </c>
      <c r="B151" s="11" t="s">
        <v>158</v>
      </c>
      <c r="C151" s="8" t="s">
        <v>10</v>
      </c>
      <c r="D151" s="12">
        <v>45118</v>
      </c>
      <c r="E151" s="8">
        <v>0</v>
      </c>
      <c r="F151" s="8">
        <v>30</v>
      </c>
      <c r="G151" s="8">
        <v>-11</v>
      </c>
      <c r="H151" s="13">
        <f>SUM(Tabla13[[#This Row],[Balance corte Digecog]:[SALIDA]])</f>
        <v>19</v>
      </c>
      <c r="I151" s="14">
        <v>105.93</v>
      </c>
      <c r="J151" s="15">
        <f>+H151*I151</f>
        <v>2012.67</v>
      </c>
      <c r="K151" s="7">
        <v>45198</v>
      </c>
    </row>
    <row r="152" spans="1:11" x14ac:dyDescent="0.3">
      <c r="A152" s="1" t="s">
        <v>29</v>
      </c>
      <c r="B152" s="11" t="s">
        <v>159</v>
      </c>
      <c r="C152" s="8" t="s">
        <v>160</v>
      </c>
      <c r="D152" s="8"/>
      <c r="E152" s="8">
        <v>52</v>
      </c>
      <c r="F152" s="8">
        <v>0</v>
      </c>
      <c r="G152" s="8">
        <v>-37</v>
      </c>
      <c r="H152" s="13">
        <f>SUM(Tabla13[[#This Row],[Balance corte Digecog]:[SALIDA]])</f>
        <v>15</v>
      </c>
      <c r="I152" s="14">
        <v>75</v>
      </c>
      <c r="J152" s="15">
        <f>52*75</f>
        <v>3900</v>
      </c>
      <c r="K152" s="7">
        <v>45198</v>
      </c>
    </row>
    <row r="153" spans="1:11" x14ac:dyDescent="0.3">
      <c r="A153" s="1"/>
      <c r="B153" s="11" t="s">
        <v>161</v>
      </c>
      <c r="C153" s="8" t="s">
        <v>160</v>
      </c>
      <c r="D153" s="12">
        <v>45127</v>
      </c>
      <c r="E153" s="8">
        <v>0</v>
      </c>
      <c r="F153" s="8">
        <v>40</v>
      </c>
      <c r="G153" s="8">
        <v>0</v>
      </c>
      <c r="H153" s="13">
        <f>SUM(Tabla13[[#This Row],[Balance corte Digecog]:[SALIDA]])</f>
        <v>40</v>
      </c>
      <c r="I153" s="14">
        <v>31</v>
      </c>
      <c r="J153" s="15">
        <f>+H153*I153</f>
        <v>1240</v>
      </c>
      <c r="K153" s="7">
        <v>45198</v>
      </c>
    </row>
    <row r="154" spans="1:11" x14ac:dyDescent="0.3">
      <c r="A154" s="1"/>
      <c r="B154" s="11" t="s">
        <v>162</v>
      </c>
      <c r="C154" s="8" t="s">
        <v>163</v>
      </c>
      <c r="D154" s="12">
        <v>45184</v>
      </c>
      <c r="E154" s="8">
        <v>0</v>
      </c>
      <c r="F154" s="8">
        <v>150</v>
      </c>
      <c r="G154" s="8">
        <v>-11</v>
      </c>
      <c r="H154" s="13">
        <f>SUM(Tabla13[[#This Row],[Balance corte Digecog]:[SALIDA]])</f>
        <v>139</v>
      </c>
      <c r="I154" s="14">
        <v>41.41</v>
      </c>
      <c r="J154" s="15">
        <f>+H154*I154</f>
        <v>5755.99</v>
      </c>
      <c r="K154" s="7">
        <v>45198</v>
      </c>
    </row>
    <row r="155" spans="1:11" x14ac:dyDescent="0.3">
      <c r="A155" s="8" t="s">
        <v>132</v>
      </c>
      <c r="B155" s="11" t="s">
        <v>164</v>
      </c>
      <c r="C155" s="8" t="s">
        <v>163</v>
      </c>
      <c r="D155" s="8"/>
      <c r="E155" s="8">
        <v>1</v>
      </c>
      <c r="F155" s="8">
        <v>0</v>
      </c>
      <c r="G155" s="8">
        <v>0</v>
      </c>
      <c r="H155" s="13">
        <f>SUM(Tabla13[[#This Row],[Balance corte Digecog]:[SALIDA]])</f>
        <v>1</v>
      </c>
      <c r="I155" s="14">
        <v>50</v>
      </c>
      <c r="J155" s="15">
        <f>1*50</f>
        <v>50</v>
      </c>
      <c r="K155" s="7">
        <v>45198</v>
      </c>
    </row>
    <row r="156" spans="1:11" x14ac:dyDescent="0.3">
      <c r="A156" s="10" t="s">
        <v>13</v>
      </c>
      <c r="B156" s="11" t="s">
        <v>165</v>
      </c>
      <c r="C156" s="8" t="s">
        <v>10</v>
      </c>
      <c r="D156" s="12">
        <v>45079</v>
      </c>
      <c r="E156" s="8">
        <v>1</v>
      </c>
      <c r="F156" s="8">
        <v>0</v>
      </c>
      <c r="G156" s="8">
        <v>-1</v>
      </c>
      <c r="H156" s="13">
        <f>SUM(Tabla13[[#This Row],[Balance corte Digecog]:[SALIDA]])</f>
        <v>0</v>
      </c>
      <c r="I156" s="14">
        <v>12242.63</v>
      </c>
      <c r="J156" s="15" t="s">
        <v>166</v>
      </c>
      <c r="K156" s="7">
        <v>45198</v>
      </c>
    </row>
    <row r="157" spans="1:11" x14ac:dyDescent="0.3">
      <c r="A157" s="1" t="s">
        <v>167</v>
      </c>
      <c r="B157" s="11" t="s">
        <v>168</v>
      </c>
      <c r="C157" s="8" t="s">
        <v>10</v>
      </c>
      <c r="D157" s="8"/>
      <c r="E157" s="8">
        <v>72</v>
      </c>
      <c r="F157" s="8">
        <v>0</v>
      </c>
      <c r="G157" s="8">
        <v>-41</v>
      </c>
      <c r="H157" s="13">
        <f>SUM(Tabla13[[#This Row],[Balance corte Digecog]:[SALIDA]])</f>
        <v>31</v>
      </c>
      <c r="I157" s="14">
        <v>165.2</v>
      </c>
      <c r="J157" s="15">
        <f>72*165.2</f>
        <v>11894.4</v>
      </c>
      <c r="K157" s="7">
        <v>45198</v>
      </c>
    </row>
    <row r="158" spans="1:11" x14ac:dyDescent="0.3">
      <c r="A158" s="16"/>
      <c r="B158" s="11" t="s">
        <v>169</v>
      </c>
      <c r="C158" s="8" t="s">
        <v>10</v>
      </c>
      <c r="D158" s="12">
        <v>45177</v>
      </c>
      <c r="E158" s="8">
        <v>0</v>
      </c>
      <c r="F158" s="8">
        <v>30</v>
      </c>
      <c r="G158" s="8">
        <v>0</v>
      </c>
      <c r="H158" s="13">
        <f>SUM(Tabla13[[#This Row],[Balance corte Digecog]:[SALIDA]])</f>
        <v>30</v>
      </c>
      <c r="I158" s="14">
        <v>138</v>
      </c>
      <c r="J158" s="15">
        <f>+H158*I158</f>
        <v>4140</v>
      </c>
      <c r="K158" s="7">
        <v>45198</v>
      </c>
    </row>
    <row r="159" spans="1:11" x14ac:dyDescent="0.3">
      <c r="A159" s="16" t="s">
        <v>167</v>
      </c>
      <c r="B159" s="11" t="s">
        <v>170</v>
      </c>
      <c r="C159" s="8" t="s">
        <v>10</v>
      </c>
      <c r="D159" s="8"/>
      <c r="E159" s="8">
        <v>17</v>
      </c>
      <c r="F159" s="8">
        <v>35</v>
      </c>
      <c r="G159" s="8">
        <v>-11</v>
      </c>
      <c r="H159" s="13">
        <f>SUM(Tabla13[[#This Row],[Balance corte Digecog]:[SALIDA]])</f>
        <v>41</v>
      </c>
      <c r="I159" s="14">
        <v>159.94999999999999</v>
      </c>
      <c r="J159" s="15">
        <f>159.95*17</f>
        <v>2719.1499999999996</v>
      </c>
      <c r="K159" s="7">
        <v>45198</v>
      </c>
    </row>
    <row r="160" spans="1:11" x14ac:dyDescent="0.3">
      <c r="A160" s="16"/>
      <c r="B160" s="11" t="s">
        <v>171</v>
      </c>
      <c r="C160" s="8" t="s">
        <v>10</v>
      </c>
      <c r="D160" s="12">
        <v>45177</v>
      </c>
      <c r="E160" s="8">
        <v>0</v>
      </c>
      <c r="F160" s="8">
        <v>30</v>
      </c>
      <c r="G160" s="8">
        <v>0</v>
      </c>
      <c r="H160" s="13">
        <f>SUM(Tabla13[[#This Row],[Balance corte Digecog]:[SALIDA]])</f>
        <v>30</v>
      </c>
      <c r="I160" s="14">
        <v>93</v>
      </c>
      <c r="J160" s="15">
        <f>+H160*I160</f>
        <v>2790</v>
      </c>
      <c r="K160" s="7">
        <v>45198</v>
      </c>
    </row>
    <row r="161" spans="1:11" ht="52.2" customHeight="1" x14ac:dyDescent="0.3">
      <c r="A161" s="1" t="s">
        <v>13</v>
      </c>
      <c r="B161" s="11" t="s">
        <v>172</v>
      </c>
      <c r="C161" s="8" t="s">
        <v>10</v>
      </c>
      <c r="D161" s="8"/>
      <c r="E161" s="8">
        <v>32</v>
      </c>
      <c r="F161" s="8">
        <v>0</v>
      </c>
      <c r="G161" s="8">
        <v>-7</v>
      </c>
      <c r="H161" s="13">
        <f>SUM(Tabla13[[#This Row],[Balance corte Digecog]:[SALIDA]])</f>
        <v>25</v>
      </c>
      <c r="I161" s="14">
        <v>78.760000000000005</v>
      </c>
      <c r="J161" s="15">
        <f>32*78.76</f>
        <v>2520.3200000000002</v>
      </c>
      <c r="K161" s="7">
        <v>45198</v>
      </c>
    </row>
    <row r="162" spans="1:11" ht="24" x14ac:dyDescent="0.3">
      <c r="A162" s="8" t="s">
        <v>17</v>
      </c>
      <c r="B162" s="11" t="s">
        <v>173</v>
      </c>
      <c r="C162" s="8" t="s">
        <v>10</v>
      </c>
      <c r="D162" s="8"/>
      <c r="E162" s="8">
        <v>92</v>
      </c>
      <c r="F162" s="8">
        <v>0</v>
      </c>
      <c r="G162" s="8">
        <v>-45</v>
      </c>
      <c r="H162" s="13">
        <f>SUM(Tabla13[[#This Row],[Balance corte Digecog]:[SALIDA]])</f>
        <v>47</v>
      </c>
      <c r="I162" s="14">
        <v>293.66000000000003</v>
      </c>
      <c r="J162" s="15">
        <f>92*293.66</f>
        <v>27016.720000000001</v>
      </c>
      <c r="K162" s="7">
        <v>45198</v>
      </c>
    </row>
    <row r="163" spans="1:11" x14ac:dyDescent="0.3">
      <c r="A163" s="8" t="s">
        <v>17</v>
      </c>
      <c r="B163" s="11" t="s">
        <v>174</v>
      </c>
      <c r="C163" s="8" t="s">
        <v>22</v>
      </c>
      <c r="D163" s="8"/>
      <c r="E163" s="8">
        <v>1</v>
      </c>
      <c r="F163" s="8">
        <v>0</v>
      </c>
      <c r="G163" s="8">
        <v>0</v>
      </c>
      <c r="H163" s="13">
        <f>SUM(Tabla13[[#This Row],[Balance corte Digecog]:[SALIDA]])</f>
        <v>1</v>
      </c>
      <c r="I163" s="14">
        <v>198</v>
      </c>
      <c r="J163" s="15">
        <f>+H163*I163</f>
        <v>198</v>
      </c>
      <c r="K163" s="7">
        <v>45198</v>
      </c>
    </row>
    <row r="164" spans="1:11" x14ac:dyDescent="0.3">
      <c r="A164" s="8" t="s">
        <v>17</v>
      </c>
      <c r="B164" s="11" t="s">
        <v>175</v>
      </c>
      <c r="C164" s="8" t="s">
        <v>10</v>
      </c>
      <c r="D164" s="8"/>
      <c r="E164" s="8">
        <v>29</v>
      </c>
      <c r="F164" s="8">
        <v>0</v>
      </c>
      <c r="G164" s="8">
        <v>-4</v>
      </c>
      <c r="H164" s="13">
        <f>SUM(Tabla13[[#This Row],[Balance corte Digecog]:[SALIDA]])</f>
        <v>25</v>
      </c>
      <c r="I164" s="14">
        <v>72.39</v>
      </c>
      <c r="J164" s="15">
        <f>+H164*I164</f>
        <v>1809.75</v>
      </c>
      <c r="K164" s="7">
        <v>45198</v>
      </c>
    </row>
    <row r="165" spans="1:11" x14ac:dyDescent="0.3">
      <c r="A165" s="8" t="s">
        <v>17</v>
      </c>
      <c r="B165" s="11" t="s">
        <v>176</v>
      </c>
      <c r="C165" s="8" t="s">
        <v>22</v>
      </c>
      <c r="D165" s="8"/>
      <c r="E165" s="8">
        <v>57</v>
      </c>
      <c r="F165" s="8">
        <v>0</v>
      </c>
      <c r="G165" s="8">
        <v>-14</v>
      </c>
      <c r="H165" s="13">
        <f>SUM(Tabla13[[#This Row],[Balance corte Digecog]:[SALIDA]])</f>
        <v>43</v>
      </c>
      <c r="I165" s="14">
        <v>118</v>
      </c>
      <c r="J165" s="15">
        <f>57*118</f>
        <v>6726</v>
      </c>
      <c r="K165" s="7">
        <v>45198</v>
      </c>
    </row>
    <row r="166" spans="1:11" x14ac:dyDescent="0.3">
      <c r="A166" s="8" t="s">
        <v>17</v>
      </c>
      <c r="B166" s="11" t="s">
        <v>177</v>
      </c>
      <c r="C166" s="8" t="s">
        <v>22</v>
      </c>
      <c r="D166" s="8"/>
      <c r="E166" s="8">
        <v>49</v>
      </c>
      <c r="F166" s="8">
        <v>0</v>
      </c>
      <c r="G166" s="8">
        <v>-44</v>
      </c>
      <c r="H166" s="13">
        <f>SUM(Tabla13[[#This Row],[Balance corte Digecog]:[SALIDA]])</f>
        <v>5</v>
      </c>
      <c r="I166" s="14">
        <v>120</v>
      </c>
      <c r="J166" s="15">
        <f>43*120</f>
        <v>5160</v>
      </c>
      <c r="K166" s="7">
        <v>45198</v>
      </c>
    </row>
    <row r="167" spans="1:11" x14ac:dyDescent="0.3">
      <c r="A167" s="8"/>
      <c r="B167" s="11" t="s">
        <v>178</v>
      </c>
      <c r="C167" s="8" t="s">
        <v>22</v>
      </c>
      <c r="D167" s="12">
        <v>45170</v>
      </c>
      <c r="E167" s="8">
        <v>0</v>
      </c>
      <c r="F167" s="8">
        <v>15</v>
      </c>
      <c r="G167" s="8">
        <v>0</v>
      </c>
      <c r="H167" s="13">
        <f>SUM(Tabla13[[#This Row],[Balance corte Digecog]:[SALIDA]])</f>
        <v>15</v>
      </c>
      <c r="I167" s="14">
        <v>90</v>
      </c>
      <c r="J167" s="15">
        <f>+H167*I167</f>
        <v>1350</v>
      </c>
      <c r="K167" s="7">
        <v>45198</v>
      </c>
    </row>
    <row r="168" spans="1:11" x14ac:dyDescent="0.3">
      <c r="A168" s="1" t="s">
        <v>8</v>
      </c>
      <c r="B168" s="11" t="s">
        <v>179</v>
      </c>
      <c r="C168" s="8" t="s">
        <v>180</v>
      </c>
      <c r="D168" s="8"/>
      <c r="E168" s="8">
        <v>26</v>
      </c>
      <c r="F168" s="8">
        <v>0</v>
      </c>
      <c r="G168" s="8">
        <v>-1</v>
      </c>
      <c r="H168" s="13">
        <f>SUM(Tabla13[[#This Row],[Balance corte Digecog]:[SALIDA]])</f>
        <v>25</v>
      </c>
      <c r="I168" s="14">
        <v>33.9</v>
      </c>
      <c r="J168" s="15">
        <f>26*33.9</f>
        <v>881.4</v>
      </c>
      <c r="K168" s="7">
        <v>45198</v>
      </c>
    </row>
    <row r="169" spans="1:11" x14ac:dyDescent="0.3">
      <c r="A169" s="1"/>
      <c r="B169" s="11" t="s">
        <v>181</v>
      </c>
      <c r="C169" s="8" t="s">
        <v>10</v>
      </c>
      <c r="D169" s="12">
        <v>45184</v>
      </c>
      <c r="E169" s="8">
        <v>0</v>
      </c>
      <c r="F169" s="8">
        <v>10</v>
      </c>
      <c r="G169" s="8">
        <v>-10</v>
      </c>
      <c r="H169" s="13">
        <f>SUM(Tabla13[[#This Row],[Balance corte Digecog]:[SALIDA]])</f>
        <v>0</v>
      </c>
      <c r="I169" s="14">
        <v>670</v>
      </c>
      <c r="J169" s="15">
        <f>+H169*I169</f>
        <v>0</v>
      </c>
      <c r="K169" s="7">
        <v>45198</v>
      </c>
    </row>
    <row r="170" spans="1:11" ht="24" customHeight="1" x14ac:dyDescent="0.3">
      <c r="A170" s="1" t="s">
        <v>20</v>
      </c>
      <c r="B170" s="11" t="s">
        <v>182</v>
      </c>
      <c r="C170" s="8" t="s">
        <v>22</v>
      </c>
      <c r="D170" s="8"/>
      <c r="E170" s="8">
        <v>23</v>
      </c>
      <c r="F170" s="8">
        <v>0</v>
      </c>
      <c r="G170" s="8">
        <v>0</v>
      </c>
      <c r="H170" s="13">
        <f>SUM(Tabla13[[#This Row],[Balance corte Digecog]:[SALIDA]])</f>
        <v>23</v>
      </c>
      <c r="I170" s="14">
        <v>947.75</v>
      </c>
      <c r="J170" s="15">
        <f>23*947.75</f>
        <v>21798.25</v>
      </c>
      <c r="K170" s="7">
        <v>45198</v>
      </c>
    </row>
    <row r="171" spans="1:11" x14ac:dyDescent="0.3">
      <c r="A171" s="1" t="s">
        <v>132</v>
      </c>
      <c r="B171" s="11" t="s">
        <v>183</v>
      </c>
      <c r="C171" s="8" t="s">
        <v>10</v>
      </c>
      <c r="D171" s="12">
        <v>45170</v>
      </c>
      <c r="E171" s="8">
        <v>0</v>
      </c>
      <c r="F171" s="8">
        <v>60</v>
      </c>
      <c r="G171" s="8">
        <v>0</v>
      </c>
      <c r="H171" s="13">
        <f>SUM(Tabla13[[#This Row],[Balance corte Digecog]:[SALIDA]])</f>
        <v>60</v>
      </c>
      <c r="I171" s="14">
        <v>65</v>
      </c>
      <c r="J171" s="15">
        <f>+H171*I171</f>
        <v>3900</v>
      </c>
      <c r="K171" s="7">
        <v>45198</v>
      </c>
    </row>
    <row r="172" spans="1:11" x14ac:dyDescent="0.3">
      <c r="A172" s="1" t="s">
        <v>13</v>
      </c>
      <c r="B172" s="11" t="s">
        <v>184</v>
      </c>
      <c r="C172" s="8" t="s">
        <v>10</v>
      </c>
      <c r="D172" s="12">
        <v>45184</v>
      </c>
      <c r="E172" s="8">
        <v>0</v>
      </c>
      <c r="F172" s="8">
        <v>8</v>
      </c>
      <c r="G172" s="8">
        <v>-8</v>
      </c>
      <c r="H172" s="13">
        <f>SUM(Tabla13[[#This Row],[Balance corte Digecog]:[SALIDA]])</f>
        <v>0</v>
      </c>
      <c r="I172" s="14">
        <v>1630</v>
      </c>
      <c r="J172" s="15">
        <f>+H172*I172</f>
        <v>0</v>
      </c>
      <c r="K172" s="7">
        <v>45198</v>
      </c>
    </row>
    <row r="173" spans="1:11" x14ac:dyDescent="0.3">
      <c r="A173" s="1" t="s">
        <v>29</v>
      </c>
      <c r="B173" s="11" t="s">
        <v>185</v>
      </c>
      <c r="C173" s="8" t="s">
        <v>12</v>
      </c>
      <c r="D173" s="8"/>
      <c r="E173" s="8">
        <v>0</v>
      </c>
      <c r="F173" s="8">
        <v>137</v>
      </c>
      <c r="G173" s="8">
        <v>-21</v>
      </c>
      <c r="H173" s="13">
        <f>SUM(Tabla13[[#This Row],[Balance corte Digecog]:[SALIDA]])</f>
        <v>116</v>
      </c>
      <c r="I173" s="14">
        <v>105</v>
      </c>
      <c r="J173" s="15">
        <f>137*105</f>
        <v>14385</v>
      </c>
      <c r="K173" s="7">
        <v>45198</v>
      </c>
    </row>
    <row r="174" spans="1:11" x14ac:dyDescent="0.3">
      <c r="A174" s="1" t="s">
        <v>29</v>
      </c>
      <c r="B174" s="11" t="s">
        <v>186</v>
      </c>
      <c r="C174" s="8" t="s">
        <v>12</v>
      </c>
      <c r="D174" s="12">
        <v>45127</v>
      </c>
      <c r="E174" s="8">
        <v>0</v>
      </c>
      <c r="F174" s="8">
        <v>50</v>
      </c>
      <c r="G174" s="8">
        <v>0</v>
      </c>
      <c r="H174" s="13">
        <f>SUM(Tabla13[[#This Row],[Balance corte Digecog]:[SALIDA]])</f>
        <v>50</v>
      </c>
      <c r="I174" s="14">
        <v>40</v>
      </c>
      <c r="J174" s="15">
        <f>+H174*I174</f>
        <v>2000</v>
      </c>
      <c r="K174" s="7">
        <v>45198</v>
      </c>
    </row>
    <row r="175" spans="1:11" x14ac:dyDescent="0.3">
      <c r="A175" s="1" t="s">
        <v>64</v>
      </c>
      <c r="B175" s="11" t="s">
        <v>187</v>
      </c>
      <c r="C175" s="8" t="s">
        <v>10</v>
      </c>
      <c r="D175" s="8"/>
      <c r="E175" s="8">
        <v>2</v>
      </c>
      <c r="F175" s="8">
        <v>0</v>
      </c>
      <c r="G175" s="8">
        <v>0</v>
      </c>
      <c r="H175" s="13">
        <f>SUM(Tabla13[[#This Row],[Balance corte Digecog]:[SALIDA]])</f>
        <v>2</v>
      </c>
      <c r="I175" s="14">
        <v>70</v>
      </c>
      <c r="J175" s="15">
        <f>Tabla13[[#This Row],[PRECIO UNIT. ]]*Tabla13[[#This Row],[EXISTENCIA]]</f>
        <v>140</v>
      </c>
      <c r="K175" s="7">
        <v>45198</v>
      </c>
    </row>
    <row r="176" spans="1:11" x14ac:dyDescent="0.3">
      <c r="A176" s="1" t="s">
        <v>8</v>
      </c>
      <c r="B176" s="11" t="s">
        <v>188</v>
      </c>
      <c r="C176" s="8" t="s">
        <v>10</v>
      </c>
      <c r="D176" s="12">
        <v>45121</v>
      </c>
      <c r="E176" s="8">
        <v>0</v>
      </c>
      <c r="F176" s="8">
        <v>50</v>
      </c>
      <c r="G176" s="8">
        <v>0</v>
      </c>
      <c r="H176" s="13">
        <f>SUM(Tabla13[[#This Row],[Balance corte Digecog]:[SALIDA]])</f>
        <v>50</v>
      </c>
      <c r="I176" s="14">
        <v>150</v>
      </c>
      <c r="J176" s="15">
        <f>+H176*I176</f>
        <v>7500</v>
      </c>
      <c r="K176" s="7">
        <v>45198</v>
      </c>
    </row>
    <row r="177" spans="1:11" x14ac:dyDescent="0.3">
      <c r="A177" s="1" t="s">
        <v>8</v>
      </c>
      <c r="B177" s="11" t="s">
        <v>189</v>
      </c>
      <c r="C177" s="8" t="s">
        <v>10</v>
      </c>
      <c r="D177" s="12">
        <v>45121</v>
      </c>
      <c r="E177" s="8">
        <v>250</v>
      </c>
      <c r="F177" s="8">
        <v>50</v>
      </c>
      <c r="G177" s="8">
        <v>-101</v>
      </c>
      <c r="H177" s="13">
        <f>SUM(Tabla13[[#This Row],[Balance corte Digecog]:[SALIDA]])</f>
        <v>199</v>
      </c>
      <c r="I177" s="14">
        <v>15.91</v>
      </c>
      <c r="J177" s="15">
        <f>250*15.91</f>
        <v>3977.5</v>
      </c>
      <c r="K177" s="7">
        <v>45198</v>
      </c>
    </row>
    <row r="178" spans="1:11" ht="24" x14ac:dyDescent="0.3">
      <c r="A178" s="1" t="s">
        <v>8</v>
      </c>
      <c r="B178" s="11" t="s">
        <v>190</v>
      </c>
      <c r="C178" s="8" t="s">
        <v>10</v>
      </c>
      <c r="D178" s="8"/>
      <c r="E178" s="8">
        <v>265</v>
      </c>
      <c r="F178" s="8">
        <v>0</v>
      </c>
      <c r="G178" s="8">
        <v>-60</v>
      </c>
      <c r="H178" s="13">
        <f>SUM(Tabla13[[#This Row],[Balance corte Digecog]:[SALIDA]])</f>
        <v>205</v>
      </c>
      <c r="I178" s="14">
        <v>32.75</v>
      </c>
      <c r="J178" s="15">
        <f>265*32.75</f>
        <v>8678.75</v>
      </c>
      <c r="K178" s="7">
        <v>45198</v>
      </c>
    </row>
    <row r="179" spans="1:11" x14ac:dyDescent="0.3">
      <c r="A179" s="1" t="s">
        <v>8</v>
      </c>
      <c r="B179" s="11" t="s">
        <v>191</v>
      </c>
      <c r="C179" s="8" t="s">
        <v>10</v>
      </c>
      <c r="D179" s="12">
        <v>45121</v>
      </c>
      <c r="E179" s="8">
        <v>50</v>
      </c>
      <c r="F179" s="8">
        <v>20</v>
      </c>
      <c r="G179" s="8">
        <v>-7</v>
      </c>
      <c r="H179" s="13">
        <f>SUM(Tabla13[[#This Row],[Balance corte Digecog]:[SALIDA]])</f>
        <v>63</v>
      </c>
      <c r="I179" s="14">
        <v>230</v>
      </c>
      <c r="J179" s="15">
        <f>50*263.56</f>
        <v>13178</v>
      </c>
      <c r="K179" s="7">
        <v>45198</v>
      </c>
    </row>
    <row r="180" spans="1:11" x14ac:dyDescent="0.3">
      <c r="A180" s="1" t="s">
        <v>36</v>
      </c>
      <c r="B180" s="11" t="s">
        <v>192</v>
      </c>
      <c r="C180" s="8" t="s">
        <v>10</v>
      </c>
      <c r="D180" s="8"/>
      <c r="E180" s="8">
        <v>2</v>
      </c>
      <c r="F180" s="8">
        <v>0</v>
      </c>
      <c r="G180" s="8">
        <v>-2</v>
      </c>
      <c r="H180" s="13">
        <f>SUM(Tabla13[[#This Row],[Balance corte Digecog]:[SALIDA]])</f>
        <v>0</v>
      </c>
      <c r="I180" s="14">
        <v>19.18</v>
      </c>
      <c r="J180" s="15">
        <f>2*19.18</f>
        <v>38.36</v>
      </c>
      <c r="K180" s="7">
        <v>45198</v>
      </c>
    </row>
    <row r="181" spans="1:11" x14ac:dyDescent="0.3">
      <c r="A181" s="1" t="s">
        <v>36</v>
      </c>
      <c r="B181" s="11" t="s">
        <v>193</v>
      </c>
      <c r="C181" s="8" t="s">
        <v>10</v>
      </c>
      <c r="D181" s="8"/>
      <c r="E181" s="8">
        <v>6</v>
      </c>
      <c r="F181" s="8">
        <v>0</v>
      </c>
      <c r="G181" s="8">
        <v>-3</v>
      </c>
      <c r="H181" s="13">
        <f>SUM(Tabla13[[#This Row],[Balance corte Digecog]:[SALIDA]])</f>
        <v>3</v>
      </c>
      <c r="I181" s="14">
        <v>19.18</v>
      </c>
      <c r="J181" s="15">
        <f>3*19.18</f>
        <v>57.54</v>
      </c>
      <c r="K181" s="7">
        <v>45198</v>
      </c>
    </row>
    <row r="182" spans="1:11" x14ac:dyDescent="0.3">
      <c r="A182" s="1" t="s">
        <v>36</v>
      </c>
      <c r="B182" s="11" t="s">
        <v>194</v>
      </c>
      <c r="C182" s="8" t="s">
        <v>10</v>
      </c>
      <c r="D182" s="8"/>
      <c r="E182" s="8">
        <v>3</v>
      </c>
      <c r="F182" s="8">
        <v>0</v>
      </c>
      <c r="G182" s="8">
        <v>-3</v>
      </c>
      <c r="H182" s="13">
        <f>SUM(Tabla13[[#This Row],[Balance corte Digecog]:[SALIDA]])</f>
        <v>0</v>
      </c>
      <c r="I182" s="14">
        <v>19.18</v>
      </c>
      <c r="J182" s="15">
        <f>+H182*I182</f>
        <v>0</v>
      </c>
      <c r="K182" s="7">
        <v>45198</v>
      </c>
    </row>
    <row r="183" spans="1:11" x14ac:dyDescent="0.3">
      <c r="A183" s="1" t="s">
        <v>36</v>
      </c>
      <c r="B183" s="11" t="s">
        <v>195</v>
      </c>
      <c r="C183" s="8" t="s">
        <v>10</v>
      </c>
      <c r="D183" s="8"/>
      <c r="E183" s="8">
        <v>17</v>
      </c>
      <c r="F183" s="8">
        <v>0</v>
      </c>
      <c r="G183" s="8">
        <v>-17</v>
      </c>
      <c r="H183" s="13">
        <f>SUM(Tabla13[[#This Row],[Balance corte Digecog]:[SALIDA]])</f>
        <v>0</v>
      </c>
      <c r="I183" s="14">
        <v>19.18</v>
      </c>
      <c r="J183" s="15">
        <f>17*19.18</f>
        <v>326.06</v>
      </c>
      <c r="K183" s="7">
        <v>45198</v>
      </c>
    </row>
    <row r="184" spans="1:11" x14ac:dyDescent="0.3">
      <c r="A184" s="1" t="s">
        <v>36</v>
      </c>
      <c r="B184" s="11" t="s">
        <v>196</v>
      </c>
      <c r="C184" s="8" t="s">
        <v>10</v>
      </c>
      <c r="D184" s="8"/>
      <c r="E184" s="8">
        <v>13</v>
      </c>
      <c r="F184" s="8">
        <v>0</v>
      </c>
      <c r="G184" s="8">
        <v>0</v>
      </c>
      <c r="H184" s="13">
        <f>SUM(Tabla13[[#This Row],[Balance corte Digecog]:[SALIDA]])</f>
        <v>13</v>
      </c>
      <c r="I184" s="14">
        <v>42</v>
      </c>
      <c r="J184" s="15">
        <f>13*42</f>
        <v>546</v>
      </c>
      <c r="K184" s="7">
        <v>45198</v>
      </c>
    </row>
    <row r="185" spans="1:11" x14ac:dyDescent="0.3">
      <c r="A185" s="8" t="s">
        <v>17</v>
      </c>
      <c r="B185" s="11" t="s">
        <v>197</v>
      </c>
      <c r="C185" s="8" t="s">
        <v>22</v>
      </c>
      <c r="D185" s="8"/>
      <c r="E185" s="8">
        <v>47</v>
      </c>
      <c r="F185" s="8">
        <v>0</v>
      </c>
      <c r="G185" s="8">
        <v>-22</v>
      </c>
      <c r="H185" s="13">
        <f>SUM(Tabla13[[#This Row],[Balance corte Digecog]:[SALIDA]])</f>
        <v>25</v>
      </c>
      <c r="I185" s="14">
        <v>275</v>
      </c>
      <c r="J185" s="15">
        <f>47*275</f>
        <v>12925</v>
      </c>
      <c r="K185" s="7">
        <v>45198</v>
      </c>
    </row>
    <row r="186" spans="1:11" x14ac:dyDescent="0.3">
      <c r="A186" s="8" t="s">
        <v>17</v>
      </c>
      <c r="B186" s="11" t="s">
        <v>198</v>
      </c>
      <c r="C186" s="8" t="s">
        <v>22</v>
      </c>
      <c r="D186" s="8"/>
      <c r="E186" s="8">
        <v>18</v>
      </c>
      <c r="F186" s="8">
        <v>0</v>
      </c>
      <c r="G186" s="8">
        <v>-3</v>
      </c>
      <c r="H186" s="13">
        <f>SUM(Tabla13[[#This Row],[Balance corte Digecog]:[SALIDA]])</f>
        <v>15</v>
      </c>
      <c r="I186" s="14">
        <v>160</v>
      </c>
      <c r="J186" s="15">
        <f>17*160</f>
        <v>2720</v>
      </c>
      <c r="K186" s="7">
        <v>45198</v>
      </c>
    </row>
    <row r="187" spans="1:11" x14ac:dyDescent="0.3">
      <c r="A187" s="1" t="s">
        <v>13</v>
      </c>
      <c r="B187" s="11" t="s">
        <v>199</v>
      </c>
      <c r="C187" s="8" t="s">
        <v>10</v>
      </c>
      <c r="D187" s="8"/>
      <c r="E187" s="8">
        <v>4</v>
      </c>
      <c r="F187" s="8">
        <v>0</v>
      </c>
      <c r="G187" s="8">
        <v>0</v>
      </c>
      <c r="H187" s="13">
        <f>SUM(Tabla13[[#This Row],[Balance corte Digecog]:[SALIDA]])</f>
        <v>4</v>
      </c>
      <c r="I187" s="14">
        <v>510</v>
      </c>
      <c r="J187" s="15">
        <f>4*510</f>
        <v>2040</v>
      </c>
      <c r="K187" s="7">
        <v>45198</v>
      </c>
    </row>
    <row r="188" spans="1:11" ht="24" x14ac:dyDescent="0.3">
      <c r="A188" s="1" t="s">
        <v>64</v>
      </c>
      <c r="B188" s="11" t="s">
        <v>200</v>
      </c>
      <c r="C188" s="8" t="s">
        <v>10</v>
      </c>
      <c r="D188" s="8"/>
      <c r="E188" s="8">
        <v>2</v>
      </c>
      <c r="F188" s="8">
        <v>0</v>
      </c>
      <c r="G188" s="8">
        <v>-2</v>
      </c>
      <c r="H188" s="13">
        <f>SUM(Tabla13[[#This Row],[Balance corte Digecog]:[SALIDA]])</f>
        <v>0</v>
      </c>
      <c r="I188" s="14">
        <v>500</v>
      </c>
      <c r="J188" s="15">
        <f>+H188*I188</f>
        <v>0</v>
      </c>
      <c r="K188" s="7">
        <v>45198</v>
      </c>
    </row>
    <row r="189" spans="1:11" ht="24" x14ac:dyDescent="0.3">
      <c r="A189" s="1" t="s">
        <v>64</v>
      </c>
      <c r="B189" s="11" t="s">
        <v>201</v>
      </c>
      <c r="C189" s="8" t="s">
        <v>10</v>
      </c>
      <c r="D189" s="8"/>
      <c r="E189" s="8">
        <v>3</v>
      </c>
      <c r="F189" s="8">
        <v>0</v>
      </c>
      <c r="G189" s="8">
        <v>-3</v>
      </c>
      <c r="H189" s="13">
        <f>SUM(Tabla13[[#This Row],[Balance corte Digecog]:[SALIDA]])</f>
        <v>0</v>
      </c>
      <c r="I189" s="14">
        <v>1655</v>
      </c>
      <c r="J189" s="15">
        <f>+H189*I189</f>
        <v>0</v>
      </c>
      <c r="K189" s="7">
        <v>45198</v>
      </c>
    </row>
    <row r="190" spans="1:11" ht="24" x14ac:dyDescent="0.3">
      <c r="A190" s="1" t="s">
        <v>64</v>
      </c>
      <c r="B190" s="11" t="s">
        <v>202</v>
      </c>
      <c r="C190" s="8" t="s">
        <v>10</v>
      </c>
      <c r="D190" s="12">
        <v>45184</v>
      </c>
      <c r="E190" s="8">
        <v>0</v>
      </c>
      <c r="F190" s="8">
        <v>9</v>
      </c>
      <c r="G190" s="8">
        <v>-9</v>
      </c>
      <c r="H190" s="13">
        <f>SUM(Tabla13[[#This Row],[Balance corte Digecog]:[SALIDA]])</f>
        <v>0</v>
      </c>
      <c r="I190" s="14">
        <v>845</v>
      </c>
      <c r="J190" s="15">
        <f>+H190*I190</f>
        <v>0</v>
      </c>
      <c r="K190" s="7">
        <v>45198</v>
      </c>
    </row>
    <row r="191" spans="1:11" x14ac:dyDescent="0.3">
      <c r="A191" s="1" t="s">
        <v>64</v>
      </c>
      <c r="B191" s="11" t="s">
        <v>203</v>
      </c>
      <c r="C191" s="8" t="s">
        <v>10</v>
      </c>
      <c r="D191" s="8"/>
      <c r="E191" s="8">
        <v>8</v>
      </c>
      <c r="F191" s="8">
        <v>0</v>
      </c>
      <c r="G191" s="8">
        <v>0</v>
      </c>
      <c r="H191" s="13">
        <f>SUM(Tabla13[[#This Row],[Balance corte Digecog]:[SALIDA]])</f>
        <v>8</v>
      </c>
      <c r="I191" s="14">
        <v>850</v>
      </c>
      <c r="J191" s="15">
        <f>8*850</f>
        <v>6800</v>
      </c>
      <c r="K191" s="7">
        <v>45198</v>
      </c>
    </row>
    <row r="192" spans="1:11" x14ac:dyDescent="0.3">
      <c r="A192" s="1" t="s">
        <v>64</v>
      </c>
      <c r="B192" s="11" t="s">
        <v>204</v>
      </c>
      <c r="C192" s="8" t="s">
        <v>10</v>
      </c>
      <c r="D192" s="8"/>
      <c r="E192" s="8">
        <v>7</v>
      </c>
      <c r="F192" s="8">
        <v>0</v>
      </c>
      <c r="G192" s="8">
        <v>0</v>
      </c>
      <c r="H192" s="13">
        <f>SUM(Tabla13[[#This Row],[Balance corte Digecog]:[SALIDA]])</f>
        <v>7</v>
      </c>
      <c r="I192" s="14">
        <v>857</v>
      </c>
      <c r="J192" s="15">
        <f>7*857</f>
        <v>5999</v>
      </c>
      <c r="K192" s="7">
        <v>45198</v>
      </c>
    </row>
    <row r="193" spans="1:11" x14ac:dyDescent="0.3">
      <c r="A193" s="1" t="s">
        <v>36</v>
      </c>
      <c r="B193" s="11" t="s">
        <v>205</v>
      </c>
      <c r="C193" s="8" t="s">
        <v>10</v>
      </c>
      <c r="D193" s="8"/>
      <c r="E193" s="8">
        <v>6</v>
      </c>
      <c r="F193" s="8">
        <v>0</v>
      </c>
      <c r="G193" s="8">
        <v>-6</v>
      </c>
      <c r="H193" s="13">
        <f>SUM(Tabla13[[#This Row],[Balance corte Digecog]:[SALIDA]])</f>
        <v>0</v>
      </c>
      <c r="I193" s="14">
        <v>625</v>
      </c>
      <c r="J193" s="15">
        <f>+H193*I193</f>
        <v>0</v>
      </c>
      <c r="K193" s="7">
        <v>45198</v>
      </c>
    </row>
    <row r="194" spans="1:11" x14ac:dyDescent="0.3">
      <c r="A194" s="1" t="s">
        <v>64</v>
      </c>
      <c r="B194" s="11" t="s">
        <v>206</v>
      </c>
      <c r="C194" s="8" t="s">
        <v>10</v>
      </c>
      <c r="D194" s="8"/>
      <c r="E194" s="8">
        <v>1</v>
      </c>
      <c r="F194" s="8">
        <v>0</v>
      </c>
      <c r="G194" s="8">
        <v>0</v>
      </c>
      <c r="H194" s="13">
        <f>SUM(Tabla13[[#This Row],[Balance corte Digecog]:[SALIDA]])</f>
        <v>1</v>
      </c>
      <c r="I194" s="14">
        <v>236.96</v>
      </c>
      <c r="J194" s="15">
        <f>+H194*I194</f>
        <v>236.96</v>
      </c>
      <c r="K194" s="7">
        <v>45198</v>
      </c>
    </row>
    <row r="195" spans="1:11" x14ac:dyDescent="0.3">
      <c r="A195" s="1"/>
      <c r="B195" s="11" t="s">
        <v>207</v>
      </c>
      <c r="C195" s="8" t="s">
        <v>10</v>
      </c>
      <c r="D195" s="12">
        <v>45184</v>
      </c>
      <c r="E195" s="8">
        <v>0</v>
      </c>
      <c r="F195" s="8">
        <v>6</v>
      </c>
      <c r="G195" s="8">
        <v>-6</v>
      </c>
      <c r="H195" s="13">
        <f>SUM(Tabla13[[#This Row],[Balance corte Digecog]:[SALIDA]])</f>
        <v>0</v>
      </c>
      <c r="I195" s="14">
        <v>185</v>
      </c>
      <c r="J195" s="15">
        <f>+H195*I195</f>
        <v>0</v>
      </c>
      <c r="K195" s="7">
        <v>45198</v>
      </c>
    </row>
    <row r="196" spans="1:11" x14ac:dyDescent="0.3">
      <c r="A196" s="1" t="s">
        <v>29</v>
      </c>
      <c r="B196" s="11" t="s">
        <v>208</v>
      </c>
      <c r="C196" s="8" t="s">
        <v>12</v>
      </c>
      <c r="D196" s="12">
        <v>45127</v>
      </c>
      <c r="E196" s="8">
        <v>17</v>
      </c>
      <c r="F196" s="8">
        <v>100</v>
      </c>
      <c r="G196" s="8">
        <v>0</v>
      </c>
      <c r="H196" s="13">
        <f>SUM(Tabla13[[#This Row],[Balance corte Digecog]:[SALIDA]])</f>
        <v>117</v>
      </c>
      <c r="I196" s="14">
        <v>30</v>
      </c>
      <c r="J196" s="15">
        <f>30*17</f>
        <v>510</v>
      </c>
      <c r="K196" s="7">
        <v>45198</v>
      </c>
    </row>
    <row r="197" spans="1:11" x14ac:dyDescent="0.3">
      <c r="A197" s="1" t="s">
        <v>29</v>
      </c>
      <c r="B197" s="11" t="s">
        <v>209</v>
      </c>
      <c r="C197" s="8" t="s">
        <v>10</v>
      </c>
      <c r="D197" s="12">
        <v>45127</v>
      </c>
      <c r="E197" s="8">
        <v>0</v>
      </c>
      <c r="F197" s="8">
        <v>60</v>
      </c>
      <c r="G197" s="8">
        <v>-6</v>
      </c>
      <c r="H197" s="13">
        <f>SUM(Tabla13[[#This Row],[Balance corte Digecog]:[SALIDA]])</f>
        <v>54</v>
      </c>
      <c r="I197" s="14">
        <v>15.5</v>
      </c>
      <c r="J197" s="15">
        <f>+H197*I197</f>
        <v>837</v>
      </c>
      <c r="K197" s="7">
        <v>45198</v>
      </c>
    </row>
    <row r="198" spans="1:11" ht="24" x14ac:dyDescent="0.3">
      <c r="A198" s="1" t="s">
        <v>20</v>
      </c>
      <c r="B198" s="11" t="s">
        <v>210</v>
      </c>
      <c r="C198" s="8" t="s">
        <v>10</v>
      </c>
      <c r="D198" s="8"/>
      <c r="E198" s="8">
        <v>1</v>
      </c>
      <c r="F198" s="8">
        <v>0</v>
      </c>
      <c r="G198" s="8">
        <v>0</v>
      </c>
      <c r="H198" s="13">
        <f>SUM(Tabla13[[#This Row],[Balance corte Digecog]:[SALIDA]])</f>
        <v>1</v>
      </c>
      <c r="I198" s="14">
        <v>1363.01</v>
      </c>
      <c r="J198" s="15">
        <f>+H198*I198</f>
        <v>1363.01</v>
      </c>
      <c r="K198" s="7">
        <v>45198</v>
      </c>
    </row>
    <row r="199" spans="1:11" x14ac:dyDescent="0.3">
      <c r="A199" s="1" t="s">
        <v>36</v>
      </c>
      <c r="B199" s="11" t="s">
        <v>211</v>
      </c>
      <c r="C199" s="8" t="s">
        <v>10</v>
      </c>
      <c r="D199" s="8"/>
      <c r="E199" s="8">
        <v>1</v>
      </c>
      <c r="F199" s="8">
        <v>0</v>
      </c>
      <c r="G199" s="8">
        <v>0</v>
      </c>
      <c r="H199" s="13">
        <f>SUM(Tabla13[[#This Row],[Balance corte Digecog]:[SALIDA]])</f>
        <v>1</v>
      </c>
      <c r="I199" s="14">
        <v>720.34</v>
      </c>
      <c r="J199" s="15">
        <f>+H199*I199</f>
        <v>720.34</v>
      </c>
      <c r="K199" s="7">
        <v>45198</v>
      </c>
    </row>
    <row r="200" spans="1:11" ht="24" x14ac:dyDescent="0.3">
      <c r="A200" s="1" t="s">
        <v>13</v>
      </c>
      <c r="B200" s="11" t="s">
        <v>212</v>
      </c>
      <c r="C200" s="8" t="s">
        <v>10</v>
      </c>
      <c r="D200" s="12">
        <v>45092</v>
      </c>
      <c r="E200" s="8">
        <v>0</v>
      </c>
      <c r="F200" s="8">
        <v>1</v>
      </c>
      <c r="G200" s="8">
        <v>-1</v>
      </c>
      <c r="H200" s="13">
        <f>SUM(Tabla13[[#This Row],[Balance corte Digecog]:[SALIDA]])</f>
        <v>0</v>
      </c>
      <c r="I200" s="14">
        <v>9744</v>
      </c>
      <c r="J200" s="15">
        <f>Tabla13[[#This Row],[PRECIO UNIT. ]]*Tabla13[[#This Row],[ENTRADA]]</f>
        <v>9744</v>
      </c>
      <c r="K200" s="7">
        <v>45198</v>
      </c>
    </row>
    <row r="201" spans="1:11" x14ac:dyDescent="0.3">
      <c r="A201" s="1" t="s">
        <v>13</v>
      </c>
      <c r="B201" s="11" t="s">
        <v>213</v>
      </c>
      <c r="C201" s="8" t="s">
        <v>10</v>
      </c>
      <c r="D201" s="12">
        <v>45092</v>
      </c>
      <c r="E201" s="8">
        <v>0</v>
      </c>
      <c r="F201" s="8">
        <v>10</v>
      </c>
      <c r="G201" s="8">
        <v>-10</v>
      </c>
      <c r="H201" s="13">
        <f>SUM(Tabla13[[#This Row],[Balance corte Digecog]:[SALIDA]])</f>
        <v>0</v>
      </c>
      <c r="I201" s="14">
        <v>266.94</v>
      </c>
      <c r="J201" s="15">
        <f>Tabla13[[#This Row],[PRECIO UNIT. ]]*Tabla13[[#This Row],[ENTRADA]]</f>
        <v>2669.4</v>
      </c>
      <c r="K201" s="7">
        <v>45198</v>
      </c>
    </row>
    <row r="202" spans="1:11" x14ac:dyDescent="0.3">
      <c r="A202" s="1" t="s">
        <v>20</v>
      </c>
      <c r="B202" s="11" t="s">
        <v>214</v>
      </c>
      <c r="C202" s="8" t="s">
        <v>10</v>
      </c>
      <c r="D202" s="8"/>
      <c r="E202" s="8">
        <v>6</v>
      </c>
      <c r="F202" s="8">
        <v>0</v>
      </c>
      <c r="G202" s="8">
        <v>0</v>
      </c>
      <c r="H202" s="13">
        <f>SUM(Tabla13[[#This Row],[Balance corte Digecog]:[SALIDA]])</f>
        <v>6</v>
      </c>
      <c r="I202" s="14">
        <v>413</v>
      </c>
      <c r="J202" s="15">
        <f>6*413</f>
        <v>2478</v>
      </c>
      <c r="K202" s="7">
        <v>45198</v>
      </c>
    </row>
    <row r="203" spans="1:11" x14ac:dyDescent="0.3">
      <c r="A203" s="1" t="s">
        <v>8</v>
      </c>
      <c r="B203" s="11" t="s">
        <v>215</v>
      </c>
      <c r="C203" s="8" t="s">
        <v>216</v>
      </c>
      <c r="D203" s="8"/>
      <c r="E203" s="8">
        <v>251</v>
      </c>
      <c r="F203" s="8">
        <v>0</v>
      </c>
      <c r="G203" s="8">
        <v>-105</v>
      </c>
      <c r="H203" s="13">
        <f>SUM(Tabla13[[#This Row],[Balance corte Digecog]:[SALIDA]])</f>
        <v>146</v>
      </c>
      <c r="I203" s="14">
        <v>351</v>
      </c>
      <c r="J203" s="15">
        <f>251*351</f>
        <v>88101</v>
      </c>
      <c r="K203" s="7">
        <v>45198</v>
      </c>
    </row>
    <row r="204" spans="1:11" x14ac:dyDescent="0.3">
      <c r="A204" s="1" t="s">
        <v>8</v>
      </c>
      <c r="B204" s="11" t="s">
        <v>217</v>
      </c>
      <c r="C204" s="8" t="s">
        <v>218</v>
      </c>
      <c r="D204" s="12">
        <v>45121</v>
      </c>
      <c r="E204" s="8">
        <v>349</v>
      </c>
      <c r="F204" s="8">
        <v>250</v>
      </c>
      <c r="G204" s="8">
        <v>-215</v>
      </c>
      <c r="H204" s="13">
        <f>SUM(Tabla13[[#This Row],[Balance corte Digecog]:[SALIDA]])</f>
        <v>384</v>
      </c>
      <c r="I204" s="14">
        <v>216</v>
      </c>
      <c r="J204" s="15">
        <f>349*243</f>
        <v>84807</v>
      </c>
      <c r="K204" s="7">
        <v>45198</v>
      </c>
    </row>
    <row r="205" spans="1:11" x14ac:dyDescent="0.3">
      <c r="A205" s="1" t="s">
        <v>8</v>
      </c>
      <c r="B205" s="11" t="s">
        <v>219</v>
      </c>
      <c r="C205" s="8" t="s">
        <v>216</v>
      </c>
      <c r="D205" s="8"/>
      <c r="E205" s="8">
        <v>250</v>
      </c>
      <c r="F205" s="8">
        <v>0</v>
      </c>
      <c r="G205" s="8">
        <v>0</v>
      </c>
      <c r="H205" s="13">
        <f>SUM(Tabla13[[#This Row],[Balance corte Digecog]:[SALIDA]])</f>
        <v>250</v>
      </c>
      <c r="I205" s="14">
        <v>330</v>
      </c>
      <c r="J205" s="15">
        <f>+H205*I205</f>
        <v>82500</v>
      </c>
      <c r="K205" s="7">
        <v>45198</v>
      </c>
    </row>
    <row r="206" spans="1:11" x14ac:dyDescent="0.3">
      <c r="A206" s="1" t="s">
        <v>8</v>
      </c>
      <c r="B206" s="11" t="s">
        <v>220</v>
      </c>
      <c r="C206" s="8" t="s">
        <v>221</v>
      </c>
      <c r="D206" s="8"/>
      <c r="E206" s="8">
        <v>79</v>
      </c>
      <c r="F206" s="8">
        <v>0</v>
      </c>
      <c r="G206" s="8">
        <v>0</v>
      </c>
      <c r="H206" s="13">
        <f>SUM(Tabla13[[#This Row],[Balance corte Digecog]:[SALIDA]])</f>
        <v>79</v>
      </c>
      <c r="I206" s="14">
        <v>215.25</v>
      </c>
      <c r="J206" s="15">
        <f>79*215.25</f>
        <v>17004.75</v>
      </c>
      <c r="K206" s="7">
        <v>45198</v>
      </c>
    </row>
    <row r="207" spans="1:11" x14ac:dyDescent="0.3">
      <c r="A207" s="1" t="s">
        <v>8</v>
      </c>
      <c r="B207" s="11" t="s">
        <v>222</v>
      </c>
      <c r="C207" s="8" t="s">
        <v>216</v>
      </c>
      <c r="D207" s="8"/>
      <c r="E207" s="8">
        <v>98</v>
      </c>
      <c r="F207" s="8">
        <v>0</v>
      </c>
      <c r="G207" s="8">
        <v>-17</v>
      </c>
      <c r="H207" s="13">
        <f>SUM(Tabla13[[#This Row],[Balance corte Digecog]:[SALIDA]])</f>
        <v>81</v>
      </c>
      <c r="I207" s="14">
        <v>715.25</v>
      </c>
      <c r="J207" s="15">
        <f>715.25*98</f>
        <v>70094.5</v>
      </c>
      <c r="K207" s="7">
        <v>45198</v>
      </c>
    </row>
    <row r="208" spans="1:11" x14ac:dyDescent="0.3">
      <c r="A208" s="8" t="s">
        <v>8</v>
      </c>
      <c r="B208" s="11" t="s">
        <v>223</v>
      </c>
      <c r="C208" s="8" t="s">
        <v>224</v>
      </c>
      <c r="D208" s="8"/>
      <c r="E208" s="8">
        <v>455</v>
      </c>
      <c r="F208" s="8">
        <v>0</v>
      </c>
      <c r="G208" s="8">
        <v>-273</v>
      </c>
      <c r="H208" s="13">
        <f>SUM(Tabla13[[#This Row],[Balance corte Digecog]:[SALIDA]])</f>
        <v>182</v>
      </c>
      <c r="I208" s="14">
        <v>144.6</v>
      </c>
      <c r="J208" s="15">
        <f>198*144.6</f>
        <v>28630.799999999999</v>
      </c>
      <c r="K208" s="7">
        <v>45198</v>
      </c>
    </row>
    <row r="209" spans="1:11" x14ac:dyDescent="0.3">
      <c r="A209" s="8" t="s">
        <v>8</v>
      </c>
      <c r="B209" s="11" t="s">
        <v>225</v>
      </c>
      <c r="C209" s="8" t="s">
        <v>226</v>
      </c>
      <c r="D209" s="8" t="s">
        <v>227</v>
      </c>
      <c r="E209" s="8">
        <v>0</v>
      </c>
      <c r="F209" s="8">
        <v>2880</v>
      </c>
      <c r="G209" s="8">
        <v>0</v>
      </c>
      <c r="H209" s="13">
        <f>SUM(Tabla13[[#This Row],[Balance corte Digecog]:[SALIDA]])</f>
        <v>2880</v>
      </c>
      <c r="I209" s="14">
        <v>50</v>
      </c>
      <c r="J209" s="15">
        <f>+H209*I209</f>
        <v>144000</v>
      </c>
      <c r="K209" s="7">
        <v>45198</v>
      </c>
    </row>
    <row r="210" spans="1:11" x14ac:dyDescent="0.3">
      <c r="A210" s="1" t="s">
        <v>8</v>
      </c>
      <c r="B210" s="11" t="s">
        <v>228</v>
      </c>
      <c r="C210" s="8" t="s">
        <v>10</v>
      </c>
      <c r="D210" s="8"/>
      <c r="E210" s="8">
        <v>191</v>
      </c>
      <c r="F210" s="8">
        <v>0</v>
      </c>
      <c r="G210" s="8">
        <v>-12</v>
      </c>
      <c r="H210" s="13">
        <f>SUM(Tabla13[[#This Row],[Balance corte Digecog]:[SALIDA]])</f>
        <v>179</v>
      </c>
      <c r="I210" s="14">
        <v>18.47</v>
      </c>
      <c r="J210" s="15">
        <f>191*18.47</f>
        <v>3527.77</v>
      </c>
      <c r="K210" s="7">
        <v>45198</v>
      </c>
    </row>
    <row r="211" spans="1:11" x14ac:dyDescent="0.3">
      <c r="A211" s="8" t="s">
        <v>8</v>
      </c>
      <c r="B211" s="11" t="s">
        <v>229</v>
      </c>
      <c r="C211" s="8" t="s">
        <v>224</v>
      </c>
      <c r="D211" s="8"/>
      <c r="E211" s="8">
        <v>52</v>
      </c>
      <c r="F211" s="8">
        <v>0</v>
      </c>
      <c r="G211" s="8">
        <v>-52</v>
      </c>
      <c r="H211" s="13">
        <f>SUM(Tabla13[[#This Row],[Balance corte Digecog]:[SALIDA]])</f>
        <v>0</v>
      </c>
      <c r="I211" s="14">
        <v>200</v>
      </c>
      <c r="J211" s="15">
        <f>22*200</f>
        <v>4400</v>
      </c>
      <c r="K211" s="7">
        <v>45198</v>
      </c>
    </row>
    <row r="212" spans="1:11" ht="24" x14ac:dyDescent="0.3">
      <c r="A212" s="19" t="s">
        <v>20</v>
      </c>
      <c r="B212" s="11" t="s">
        <v>230</v>
      </c>
      <c r="C212" s="8" t="s">
        <v>10</v>
      </c>
      <c r="D212" s="12">
        <v>45184</v>
      </c>
      <c r="E212" s="8">
        <v>0</v>
      </c>
      <c r="F212" s="8">
        <v>10</v>
      </c>
      <c r="G212" s="8">
        <v>-10</v>
      </c>
      <c r="H212" s="13">
        <f>SUM(Tabla13[[#This Row],[Balance corte Digecog]:[SALIDA]])</f>
        <v>0</v>
      </c>
      <c r="I212" s="14">
        <v>560</v>
      </c>
      <c r="J212" s="15">
        <f>+H212*I212</f>
        <v>0</v>
      </c>
      <c r="K212" s="7">
        <v>45198</v>
      </c>
    </row>
    <row r="213" spans="1:11" x14ac:dyDescent="0.3">
      <c r="A213" s="1" t="s">
        <v>29</v>
      </c>
      <c r="B213" s="11" t="s">
        <v>231</v>
      </c>
      <c r="C213" s="8" t="s">
        <v>10</v>
      </c>
      <c r="D213" s="8"/>
      <c r="E213" s="8">
        <v>1</v>
      </c>
      <c r="F213" s="8">
        <v>0</v>
      </c>
      <c r="G213" s="8">
        <v>0</v>
      </c>
      <c r="H213" s="13">
        <f>SUM(Tabla13[[#This Row],[Balance corte Digecog]:[SALIDA]])</f>
        <v>1</v>
      </c>
      <c r="I213" s="14">
        <v>589</v>
      </c>
      <c r="J213" s="15">
        <f>+H213*I213</f>
        <v>589</v>
      </c>
      <c r="K213" s="7">
        <v>45198</v>
      </c>
    </row>
    <row r="214" spans="1:11" x14ac:dyDescent="0.3">
      <c r="A214" s="1" t="s">
        <v>29</v>
      </c>
      <c r="B214" s="11" t="s">
        <v>232</v>
      </c>
      <c r="C214" s="8" t="s">
        <v>10</v>
      </c>
      <c r="D214" s="8"/>
      <c r="E214" s="8">
        <v>24</v>
      </c>
      <c r="F214" s="8">
        <v>0</v>
      </c>
      <c r="G214" s="8">
        <v>-2</v>
      </c>
      <c r="H214" s="13">
        <f>SUM(Tabla13[[#This Row],[Balance corte Digecog]:[SALIDA]])</f>
        <v>22</v>
      </c>
      <c r="I214" s="14">
        <v>241.53</v>
      </c>
      <c r="J214" s="15">
        <f>24*241.53</f>
        <v>5796.72</v>
      </c>
      <c r="K214" s="7">
        <v>45198</v>
      </c>
    </row>
    <row r="215" spans="1:11" x14ac:dyDescent="0.3">
      <c r="A215" s="1" t="s">
        <v>8</v>
      </c>
      <c r="B215" s="11" t="s">
        <v>233</v>
      </c>
      <c r="C215" s="8" t="s">
        <v>10</v>
      </c>
      <c r="D215" s="12">
        <v>45118</v>
      </c>
      <c r="E215" s="8">
        <v>0</v>
      </c>
      <c r="F215" s="8">
        <v>6</v>
      </c>
      <c r="G215" s="8">
        <v>-2</v>
      </c>
      <c r="H215" s="13">
        <f>SUM(Tabla13[[#This Row],[Balance corte Digecog]:[SALIDA]])</f>
        <v>4</v>
      </c>
      <c r="I215" s="14">
        <v>1580</v>
      </c>
      <c r="J215" s="15">
        <f>+H215*I215</f>
        <v>6320</v>
      </c>
      <c r="K215" s="7">
        <v>45198</v>
      </c>
    </row>
    <row r="216" spans="1:11" x14ac:dyDescent="0.3">
      <c r="A216" s="1" t="s">
        <v>20</v>
      </c>
      <c r="B216" s="11" t="s">
        <v>234</v>
      </c>
      <c r="C216" s="8" t="s">
        <v>22</v>
      </c>
      <c r="D216" s="8"/>
      <c r="E216" s="8">
        <v>10</v>
      </c>
      <c r="F216" s="8">
        <v>0</v>
      </c>
      <c r="G216" s="8">
        <v>-3</v>
      </c>
      <c r="H216" s="13">
        <f>SUM(Tabla13[[#This Row],[Balance corte Digecog]:[SALIDA]])</f>
        <v>7</v>
      </c>
      <c r="I216" s="14">
        <v>4779.66</v>
      </c>
      <c r="J216" s="15">
        <f>10*4779.66</f>
        <v>47796.6</v>
      </c>
      <c r="K216" s="7">
        <v>45198</v>
      </c>
    </row>
    <row r="217" spans="1:11" x14ac:dyDescent="0.3">
      <c r="A217" s="1" t="s">
        <v>20</v>
      </c>
      <c r="B217" s="11" t="s">
        <v>235</v>
      </c>
      <c r="C217" s="8" t="s">
        <v>22</v>
      </c>
      <c r="D217" s="8"/>
      <c r="E217" s="8">
        <v>1</v>
      </c>
      <c r="F217" s="8">
        <v>0</v>
      </c>
      <c r="G217" s="8">
        <v>0</v>
      </c>
      <c r="H217" s="13">
        <f>SUM(Tabla13[[#This Row],[Balance corte Digecog]:[SALIDA]])</f>
        <v>1</v>
      </c>
      <c r="I217" s="14">
        <v>850</v>
      </c>
      <c r="J217" s="15">
        <f>+H217*I217</f>
        <v>850</v>
      </c>
      <c r="K217" s="7">
        <v>45198</v>
      </c>
    </row>
    <row r="218" spans="1:11" x14ac:dyDescent="0.3">
      <c r="A218" s="1" t="s">
        <v>20</v>
      </c>
      <c r="B218" s="11" t="s">
        <v>236</v>
      </c>
      <c r="C218" s="8" t="s">
        <v>22</v>
      </c>
      <c r="D218" s="8"/>
      <c r="E218" s="8">
        <v>2</v>
      </c>
      <c r="F218" s="8">
        <v>0</v>
      </c>
      <c r="G218" s="8">
        <v>0</v>
      </c>
      <c r="H218" s="13">
        <f>SUM(Tabla13[[#This Row],[Balance corte Digecog]:[SALIDA]])</f>
        <v>2</v>
      </c>
      <c r="I218" s="14">
        <v>986.54</v>
      </c>
      <c r="J218" s="15">
        <f>+H218*I218</f>
        <v>1973.08</v>
      </c>
      <c r="K218" s="7">
        <v>45198</v>
      </c>
    </row>
    <row r="219" spans="1:11" x14ac:dyDescent="0.3">
      <c r="A219" s="19" t="s">
        <v>20</v>
      </c>
      <c r="B219" s="11" t="s">
        <v>237</v>
      </c>
      <c r="C219" s="8" t="s">
        <v>22</v>
      </c>
      <c r="D219" s="8"/>
      <c r="E219" s="8">
        <v>1</v>
      </c>
      <c r="F219" s="8">
        <v>0</v>
      </c>
      <c r="G219" s="8">
        <v>0</v>
      </c>
      <c r="H219" s="13">
        <f>SUM(Tabla13[[#This Row],[Balance corte Digecog]:[SALIDA]])</f>
        <v>1</v>
      </c>
      <c r="I219" s="14">
        <v>1270</v>
      </c>
      <c r="J219" s="15">
        <f>+H219*I219</f>
        <v>1270</v>
      </c>
      <c r="K219" s="7">
        <v>45198</v>
      </c>
    </row>
    <row r="220" spans="1:11" x14ac:dyDescent="0.3">
      <c r="A220" s="1" t="s">
        <v>20</v>
      </c>
      <c r="B220" s="11" t="s">
        <v>238</v>
      </c>
      <c r="C220" s="8" t="s">
        <v>22</v>
      </c>
      <c r="D220" s="8"/>
      <c r="E220" s="8">
        <v>11</v>
      </c>
      <c r="F220" s="8">
        <v>0</v>
      </c>
      <c r="G220" s="8">
        <v>-4</v>
      </c>
      <c r="H220" s="13">
        <f>SUM(Tabla13[[#This Row],[Balance corte Digecog]:[SALIDA]])</f>
        <v>7</v>
      </c>
      <c r="I220" s="14">
        <v>4779.96</v>
      </c>
      <c r="J220" s="15">
        <f>11*4779.96</f>
        <v>52579.56</v>
      </c>
      <c r="K220" s="7">
        <v>45198</v>
      </c>
    </row>
    <row r="221" spans="1:11" x14ac:dyDescent="0.3">
      <c r="A221" s="1" t="s">
        <v>20</v>
      </c>
      <c r="B221" s="11" t="s">
        <v>239</v>
      </c>
      <c r="C221" s="8" t="s">
        <v>240</v>
      </c>
      <c r="D221" s="12">
        <v>45184</v>
      </c>
      <c r="E221" s="8">
        <v>0</v>
      </c>
      <c r="F221" s="8">
        <v>2</v>
      </c>
      <c r="G221" s="8">
        <v>-2</v>
      </c>
      <c r="H221" s="13">
        <f>SUM(Tabla13[[#This Row],[Balance corte Digecog]:[SALIDA]])</f>
        <v>0</v>
      </c>
      <c r="I221" s="14">
        <v>6250</v>
      </c>
      <c r="J221" s="15">
        <f>+H221*I221</f>
        <v>0</v>
      </c>
      <c r="K221" s="7">
        <v>45198</v>
      </c>
    </row>
    <row r="222" spans="1:11" x14ac:dyDescent="0.3">
      <c r="A222" s="1" t="s">
        <v>20</v>
      </c>
      <c r="B222" s="11" t="s">
        <v>241</v>
      </c>
      <c r="C222" s="8" t="s">
        <v>240</v>
      </c>
      <c r="D222" s="12">
        <v>45184</v>
      </c>
      <c r="E222" s="8">
        <v>0</v>
      </c>
      <c r="F222" s="8">
        <v>4</v>
      </c>
      <c r="G222" s="8">
        <v>-4</v>
      </c>
      <c r="H222" s="13">
        <f>SUM(Tabla13[[#This Row],[Balance corte Digecog]:[SALIDA]])</f>
        <v>0</v>
      </c>
      <c r="I222" s="14">
        <v>6250</v>
      </c>
      <c r="J222" s="15">
        <f>+H222*I222</f>
        <v>0</v>
      </c>
      <c r="K222" s="7">
        <v>45198</v>
      </c>
    </row>
    <row r="223" spans="1:11" x14ac:dyDescent="0.3">
      <c r="A223" s="1" t="s">
        <v>20</v>
      </c>
      <c r="B223" s="11" t="s">
        <v>242</v>
      </c>
      <c r="C223" s="8" t="s">
        <v>240</v>
      </c>
      <c r="D223" s="12">
        <v>45184</v>
      </c>
      <c r="E223" s="8">
        <v>0</v>
      </c>
      <c r="F223" s="8">
        <v>2</v>
      </c>
      <c r="G223" s="8">
        <v>-2</v>
      </c>
      <c r="H223" s="13">
        <f>SUM(Tabla13[[#This Row],[Balance corte Digecog]:[SALIDA]])</f>
        <v>0</v>
      </c>
      <c r="I223" s="14">
        <v>16000</v>
      </c>
      <c r="J223" s="15">
        <f>+H223*I223</f>
        <v>0</v>
      </c>
      <c r="K223" s="7">
        <v>45198</v>
      </c>
    </row>
    <row r="224" spans="1:11" x14ac:dyDescent="0.3">
      <c r="A224" s="1" t="s">
        <v>20</v>
      </c>
      <c r="B224" s="11" t="s">
        <v>243</v>
      </c>
      <c r="C224" s="8" t="s">
        <v>240</v>
      </c>
      <c r="D224" s="12">
        <v>45184</v>
      </c>
      <c r="E224" s="8">
        <v>0</v>
      </c>
      <c r="F224" s="8">
        <v>6</v>
      </c>
      <c r="G224" s="8">
        <v>-6</v>
      </c>
      <c r="H224" s="13">
        <f>SUM(Tabla13[[#This Row],[Balance corte Digecog]:[SALIDA]])</f>
        <v>0</v>
      </c>
      <c r="I224" s="14">
        <v>6250</v>
      </c>
      <c r="J224" s="15">
        <f>+H224*I224</f>
        <v>0</v>
      </c>
      <c r="K224" s="7">
        <v>45198</v>
      </c>
    </row>
    <row r="225" spans="1:11" x14ac:dyDescent="0.3">
      <c r="A225" s="1" t="s">
        <v>20</v>
      </c>
      <c r="B225" s="11" t="s">
        <v>244</v>
      </c>
      <c r="C225" s="8" t="s">
        <v>10</v>
      </c>
      <c r="D225" s="8"/>
      <c r="E225" s="8">
        <v>8</v>
      </c>
      <c r="F225" s="8">
        <v>0</v>
      </c>
      <c r="G225" s="8">
        <v>0</v>
      </c>
      <c r="H225" s="13">
        <f>SUM(Tabla13[[#This Row],[Balance corte Digecog]:[SALIDA]])</f>
        <v>8</v>
      </c>
      <c r="I225" s="14">
        <v>2831.38</v>
      </c>
      <c r="J225" s="15">
        <f>8*2831.38</f>
        <v>22651.040000000001</v>
      </c>
      <c r="K225" s="7">
        <v>45198</v>
      </c>
    </row>
    <row r="226" spans="1:11" x14ac:dyDescent="0.3">
      <c r="A226" s="8" t="s">
        <v>64</v>
      </c>
      <c r="B226" s="11" t="s">
        <v>245</v>
      </c>
      <c r="C226" s="8" t="s">
        <v>246</v>
      </c>
      <c r="D226" s="12">
        <v>45163</v>
      </c>
      <c r="E226" s="8">
        <v>0</v>
      </c>
      <c r="F226" s="8">
        <v>100</v>
      </c>
      <c r="G226" s="8">
        <v>-3</v>
      </c>
      <c r="H226" s="13">
        <f>SUM(Tabla13[[#This Row],[Balance corte Digecog]:[SALIDA]])</f>
        <v>97</v>
      </c>
      <c r="I226" s="14">
        <v>43.2</v>
      </c>
      <c r="J226" s="15">
        <f>+H226*I226</f>
        <v>4190.4000000000005</v>
      </c>
      <c r="K226" s="7">
        <v>45198</v>
      </c>
    </row>
    <row r="227" spans="1:11" x14ac:dyDescent="0.3">
      <c r="A227" s="8" t="s">
        <v>64</v>
      </c>
      <c r="B227" s="11" t="s">
        <v>247</v>
      </c>
      <c r="C227" s="8" t="s">
        <v>246</v>
      </c>
      <c r="D227" s="8"/>
      <c r="E227" s="8">
        <v>75</v>
      </c>
      <c r="F227" s="8">
        <v>0</v>
      </c>
      <c r="G227" s="8">
        <v>-73</v>
      </c>
      <c r="H227" s="13">
        <f>SUM(Tabla13[[#This Row],[Balance corte Digecog]:[SALIDA]])</f>
        <v>2</v>
      </c>
      <c r="I227" s="14">
        <v>48.36</v>
      </c>
      <c r="J227" s="15">
        <f>75*48.36</f>
        <v>3627</v>
      </c>
      <c r="K227" s="7">
        <v>45198</v>
      </c>
    </row>
    <row r="228" spans="1:11" x14ac:dyDescent="0.3">
      <c r="A228" s="8" t="s">
        <v>64</v>
      </c>
      <c r="B228" s="11" t="s">
        <v>248</v>
      </c>
      <c r="C228" s="8" t="s">
        <v>246</v>
      </c>
      <c r="D228" s="12">
        <v>45170</v>
      </c>
      <c r="E228" s="8">
        <v>0</v>
      </c>
      <c r="F228" s="8">
        <v>100</v>
      </c>
      <c r="G228" s="8">
        <v>0</v>
      </c>
      <c r="H228" s="13">
        <f>SUM(Tabla13[[#This Row],[Balance corte Digecog]:[SALIDA]])</f>
        <v>100</v>
      </c>
      <c r="I228" s="14">
        <v>42.2</v>
      </c>
      <c r="J228" s="15">
        <f>+H228*I228</f>
        <v>4220</v>
      </c>
      <c r="K228" s="7">
        <v>45198</v>
      </c>
    </row>
    <row r="229" spans="1:11" x14ac:dyDescent="0.3">
      <c r="A229" s="1" t="s">
        <v>29</v>
      </c>
      <c r="B229" s="11" t="s">
        <v>249</v>
      </c>
      <c r="C229" s="8" t="s">
        <v>10</v>
      </c>
      <c r="D229" s="8"/>
      <c r="E229" s="8">
        <v>10</v>
      </c>
      <c r="F229" s="8">
        <v>0</v>
      </c>
      <c r="G229" s="8">
        <v>-2</v>
      </c>
      <c r="H229" s="13">
        <f>SUM(Tabla13[[#This Row],[Balance corte Digecog]:[SALIDA]])</f>
        <v>8</v>
      </c>
      <c r="I229" s="14">
        <v>21</v>
      </c>
      <c r="J229" s="15">
        <f>10*21</f>
        <v>210</v>
      </c>
      <c r="K229" s="7">
        <v>45198</v>
      </c>
    </row>
    <row r="230" spans="1:11" x14ac:dyDescent="0.3">
      <c r="A230" s="1" t="s">
        <v>64</v>
      </c>
      <c r="B230" s="11" t="s">
        <v>250</v>
      </c>
      <c r="C230" s="8" t="s">
        <v>10</v>
      </c>
      <c r="D230" s="12">
        <v>45118</v>
      </c>
      <c r="E230" s="8">
        <v>70</v>
      </c>
      <c r="F230" s="8">
        <v>20</v>
      </c>
      <c r="G230" s="8">
        <v>-42</v>
      </c>
      <c r="H230" s="13">
        <f>SUM(Tabla13[[#This Row],[Balance corte Digecog]:[SALIDA]])</f>
        <v>48</v>
      </c>
      <c r="I230" s="14">
        <v>292.37</v>
      </c>
      <c r="J230" s="15">
        <f>70*274.58</f>
        <v>19220.599999999999</v>
      </c>
      <c r="K230" s="7">
        <v>45198</v>
      </c>
    </row>
    <row r="231" spans="1:11" x14ac:dyDescent="0.3">
      <c r="A231" s="16" t="s">
        <v>64</v>
      </c>
      <c r="B231" s="11" t="s">
        <v>251</v>
      </c>
      <c r="C231" s="8" t="s">
        <v>10</v>
      </c>
      <c r="D231" s="12">
        <v>45191</v>
      </c>
      <c r="E231" s="8">
        <v>0</v>
      </c>
      <c r="F231" s="8">
        <v>500</v>
      </c>
      <c r="G231" s="8">
        <v>-500</v>
      </c>
      <c r="H231" s="13">
        <f>SUM(Tabla13[[#This Row],[Balance corte Digecog]:[SALIDA]])</f>
        <v>0</v>
      </c>
      <c r="I231" s="14">
        <v>20</v>
      </c>
      <c r="J231" s="15">
        <f>+H231*I231</f>
        <v>0</v>
      </c>
      <c r="K231" s="7">
        <v>45198</v>
      </c>
    </row>
    <row r="232" spans="1:11" x14ac:dyDescent="0.3">
      <c r="A232" s="1" t="s">
        <v>29</v>
      </c>
      <c r="B232" s="11" t="s">
        <v>252</v>
      </c>
      <c r="C232" s="8" t="s">
        <v>10</v>
      </c>
      <c r="D232" s="8"/>
      <c r="E232" s="8">
        <v>1</v>
      </c>
      <c r="F232" s="8">
        <v>0</v>
      </c>
      <c r="G232" s="8">
        <v>0</v>
      </c>
      <c r="H232" s="13">
        <f>SUM(Tabla13[[#This Row],[Balance corte Digecog]:[SALIDA]])</f>
        <v>1</v>
      </c>
      <c r="I232" s="14">
        <v>80</v>
      </c>
      <c r="J232" s="15">
        <f>+H232*I232</f>
        <v>80</v>
      </c>
      <c r="K232" s="7">
        <v>45198</v>
      </c>
    </row>
    <row r="233" spans="1:11" x14ac:dyDescent="0.3">
      <c r="A233" s="1" t="s">
        <v>8</v>
      </c>
      <c r="B233" s="11" t="s">
        <v>253</v>
      </c>
      <c r="C233" s="8" t="s">
        <v>10</v>
      </c>
      <c r="D233" s="12">
        <v>45127</v>
      </c>
      <c r="E233" s="8">
        <v>0</v>
      </c>
      <c r="F233" s="8">
        <v>80</v>
      </c>
      <c r="G233" s="8">
        <v>-2</v>
      </c>
      <c r="H233" s="13">
        <f>SUM(Tabla13[[#This Row],[Balance corte Digecog]:[SALIDA]])</f>
        <v>78</v>
      </c>
      <c r="I233" s="14">
        <v>65</v>
      </c>
      <c r="J233" s="15">
        <f>+H233*I233</f>
        <v>5070</v>
      </c>
      <c r="K233" s="7">
        <v>45198</v>
      </c>
    </row>
    <row r="234" spans="1:11" x14ac:dyDescent="0.3">
      <c r="A234" s="1" t="s">
        <v>8</v>
      </c>
      <c r="B234" s="11" t="s">
        <v>254</v>
      </c>
      <c r="C234" s="8" t="s">
        <v>146</v>
      </c>
      <c r="D234" s="8"/>
      <c r="E234" s="8">
        <v>65</v>
      </c>
      <c r="F234" s="8">
        <v>0</v>
      </c>
      <c r="G234" s="8">
        <v>-30</v>
      </c>
      <c r="H234" s="13">
        <f>SUM(Tabla13[[#This Row],[Balance corte Digecog]:[SALIDA]])</f>
        <v>35</v>
      </c>
      <c r="I234" s="14">
        <v>23.9</v>
      </c>
      <c r="J234" s="15">
        <f>65*23.9</f>
        <v>1553.5</v>
      </c>
      <c r="K234" s="7">
        <v>45198</v>
      </c>
    </row>
    <row r="235" spans="1:11" x14ac:dyDescent="0.3">
      <c r="A235" s="1" t="s">
        <v>8</v>
      </c>
      <c r="B235" s="11" t="s">
        <v>255</v>
      </c>
      <c r="C235" s="8" t="s">
        <v>146</v>
      </c>
      <c r="D235" s="12">
        <v>45118</v>
      </c>
      <c r="E235" s="8">
        <v>0</v>
      </c>
      <c r="F235" s="8">
        <v>100</v>
      </c>
      <c r="G235" s="8">
        <v>0</v>
      </c>
      <c r="H235" s="13">
        <f>SUM(Tabla13[[#This Row],[Balance corte Digecog]:[SALIDA]])</f>
        <v>100</v>
      </c>
      <c r="I235" s="14">
        <v>15.25</v>
      </c>
      <c r="J235" s="15">
        <f>+H235*I235</f>
        <v>1525</v>
      </c>
      <c r="K235" s="7">
        <v>45198</v>
      </c>
    </row>
    <row r="236" spans="1:11" x14ac:dyDescent="0.3">
      <c r="A236" s="1" t="s">
        <v>8</v>
      </c>
      <c r="B236" s="11" t="s">
        <v>256</v>
      </c>
      <c r="C236" s="8" t="s">
        <v>257</v>
      </c>
      <c r="D236" s="12">
        <v>45127</v>
      </c>
      <c r="E236" s="8">
        <v>0</v>
      </c>
      <c r="F236" s="8">
        <v>20</v>
      </c>
      <c r="G236" s="8">
        <v>0</v>
      </c>
      <c r="H236" s="13">
        <f>SUM(Tabla13[[#This Row],[Balance corte Digecog]:[SALIDA]])</f>
        <v>20</v>
      </c>
      <c r="I236" s="14">
        <v>43</v>
      </c>
      <c r="J236" s="15">
        <f>+H236*I236</f>
        <v>860</v>
      </c>
      <c r="K236" s="7">
        <v>45198</v>
      </c>
    </row>
    <row r="237" spans="1:11" x14ac:dyDescent="0.3">
      <c r="A237" s="1" t="s">
        <v>8</v>
      </c>
      <c r="B237" s="11" t="s">
        <v>258</v>
      </c>
      <c r="C237" s="8" t="s">
        <v>146</v>
      </c>
      <c r="D237" s="8"/>
      <c r="E237" s="8">
        <v>174</v>
      </c>
      <c r="F237" s="8">
        <v>0</v>
      </c>
      <c r="G237" s="8">
        <v>-58</v>
      </c>
      <c r="H237" s="13">
        <f>SUM(Tabla13[[#This Row],[Balance corte Digecog]:[SALIDA]])</f>
        <v>116</v>
      </c>
      <c r="I237" s="14">
        <v>23.45</v>
      </c>
      <c r="J237" s="15">
        <f>174*23.45</f>
        <v>4080.2999999999997</v>
      </c>
      <c r="K237" s="7">
        <v>45198</v>
      </c>
    </row>
    <row r="238" spans="1:11" x14ac:dyDescent="0.3">
      <c r="A238" s="1" t="s">
        <v>8</v>
      </c>
      <c r="B238" s="11" t="s">
        <v>259</v>
      </c>
      <c r="C238" s="8" t="s">
        <v>146</v>
      </c>
      <c r="D238" s="8"/>
      <c r="E238" s="8">
        <v>50</v>
      </c>
      <c r="F238" s="8">
        <v>0</v>
      </c>
      <c r="G238" s="8">
        <v>-32</v>
      </c>
      <c r="H238" s="13">
        <f>SUM(Tabla13[[#This Row],[Balance corte Digecog]:[SALIDA]])</f>
        <v>18</v>
      </c>
      <c r="I238" s="14">
        <v>26.27</v>
      </c>
      <c r="J238" s="15">
        <f>50*26.27</f>
        <v>1313.5</v>
      </c>
      <c r="K238" s="7">
        <v>45198</v>
      </c>
    </row>
    <row r="239" spans="1:11" ht="32.4" customHeight="1" x14ac:dyDescent="0.3">
      <c r="A239" s="1" t="s">
        <v>8</v>
      </c>
      <c r="B239" s="11" t="s">
        <v>259</v>
      </c>
      <c r="C239" s="8" t="s">
        <v>146</v>
      </c>
      <c r="D239" s="12">
        <v>45118</v>
      </c>
      <c r="E239" s="8">
        <v>0</v>
      </c>
      <c r="F239" s="8">
        <v>100</v>
      </c>
      <c r="G239" s="8">
        <v>0</v>
      </c>
      <c r="H239" s="13">
        <f>SUM(Tabla13[[#This Row],[Balance corte Digecog]:[SALIDA]])</f>
        <v>100</v>
      </c>
      <c r="I239" s="14">
        <v>29</v>
      </c>
      <c r="J239" s="15">
        <f>+H239*I239</f>
        <v>2900</v>
      </c>
      <c r="K239" s="7">
        <v>45198</v>
      </c>
    </row>
    <row r="240" spans="1:11" ht="30" customHeight="1" x14ac:dyDescent="0.3">
      <c r="A240" s="1" t="s">
        <v>8</v>
      </c>
      <c r="B240" s="11" t="s">
        <v>260</v>
      </c>
      <c r="C240" s="8" t="s">
        <v>146</v>
      </c>
      <c r="D240" s="8"/>
      <c r="E240" s="8">
        <v>36</v>
      </c>
      <c r="F240" s="8">
        <v>0</v>
      </c>
      <c r="G240" s="8">
        <v>-18</v>
      </c>
      <c r="H240" s="13">
        <f>SUM(Tabla13[[#This Row],[Balance corte Digecog]:[SALIDA]])</f>
        <v>18</v>
      </c>
      <c r="I240" s="14">
        <v>24.31</v>
      </c>
      <c r="J240" s="15">
        <f>36*24.31</f>
        <v>875.16</v>
      </c>
      <c r="K240" s="7">
        <v>45198</v>
      </c>
    </row>
    <row r="241" spans="1:11" x14ac:dyDescent="0.3">
      <c r="A241" s="1" t="s">
        <v>64</v>
      </c>
      <c r="B241" s="11" t="s">
        <v>261</v>
      </c>
      <c r="C241" s="8" t="s">
        <v>146</v>
      </c>
      <c r="D241" s="8"/>
      <c r="E241" s="8">
        <v>23</v>
      </c>
      <c r="F241" s="8">
        <v>0</v>
      </c>
      <c r="G241" s="8">
        <v>-12</v>
      </c>
      <c r="H241" s="13">
        <f>SUM(Tabla13[[#This Row],[Balance corte Digecog]:[SALIDA]])</f>
        <v>11</v>
      </c>
      <c r="I241" s="14">
        <v>228.81</v>
      </c>
      <c r="J241" s="15">
        <f>23*228.81</f>
        <v>5262.63</v>
      </c>
      <c r="K241" s="7">
        <v>45198</v>
      </c>
    </row>
    <row r="242" spans="1:11" x14ac:dyDescent="0.3">
      <c r="A242" s="1" t="s">
        <v>64</v>
      </c>
      <c r="B242" s="11" t="s">
        <v>262</v>
      </c>
      <c r="C242" s="8" t="s">
        <v>10</v>
      </c>
      <c r="D242" s="8"/>
      <c r="E242" s="8">
        <v>8</v>
      </c>
      <c r="F242" s="8">
        <v>0</v>
      </c>
      <c r="G242" s="8">
        <v>-8</v>
      </c>
      <c r="H242" s="13">
        <f>SUM(Tabla13[[#This Row],[Balance corte Digecog]:[SALIDA]])</f>
        <v>0</v>
      </c>
      <c r="I242" s="14">
        <v>40</v>
      </c>
      <c r="J242" s="15">
        <f t="shared" ref="J242:J258" si="4">+H242*I242</f>
        <v>0</v>
      </c>
      <c r="K242" s="7">
        <v>45198</v>
      </c>
    </row>
    <row r="243" spans="1:11" x14ac:dyDescent="0.3">
      <c r="A243" s="1" t="s">
        <v>64</v>
      </c>
      <c r="B243" s="11" t="s">
        <v>263</v>
      </c>
      <c r="C243" s="8" t="s">
        <v>10</v>
      </c>
      <c r="D243" s="8"/>
      <c r="E243" s="8">
        <v>10</v>
      </c>
      <c r="F243" s="8">
        <v>0</v>
      </c>
      <c r="G243" s="8">
        <v>-10</v>
      </c>
      <c r="H243" s="13">
        <f>SUM(Tabla13[[#This Row],[Balance corte Digecog]:[SALIDA]])</f>
        <v>0</v>
      </c>
      <c r="I243" s="14">
        <v>105</v>
      </c>
      <c r="J243" s="15">
        <f t="shared" si="4"/>
        <v>0</v>
      </c>
      <c r="K243" s="7">
        <v>45198</v>
      </c>
    </row>
    <row r="244" spans="1:11" x14ac:dyDescent="0.3">
      <c r="A244" s="1" t="s">
        <v>64</v>
      </c>
      <c r="B244" s="11" t="s">
        <v>264</v>
      </c>
      <c r="C244" s="8" t="s">
        <v>10</v>
      </c>
      <c r="D244" s="8"/>
      <c r="E244" s="8">
        <v>11</v>
      </c>
      <c r="F244" s="8">
        <v>0</v>
      </c>
      <c r="G244" s="8">
        <v>-11</v>
      </c>
      <c r="H244" s="13">
        <f>SUM(Tabla13[[#This Row],[Balance corte Digecog]:[SALIDA]])</f>
        <v>0</v>
      </c>
      <c r="I244" s="14">
        <v>510</v>
      </c>
      <c r="J244" s="15">
        <f t="shared" si="4"/>
        <v>0</v>
      </c>
      <c r="K244" s="7">
        <v>45198</v>
      </c>
    </row>
    <row r="245" spans="1:11" x14ac:dyDescent="0.3">
      <c r="A245" s="1" t="s">
        <v>64</v>
      </c>
      <c r="B245" s="11" t="s">
        <v>265</v>
      </c>
      <c r="C245" s="8" t="s">
        <v>10</v>
      </c>
      <c r="D245" s="8"/>
      <c r="E245" s="8">
        <v>7</v>
      </c>
      <c r="F245" s="8">
        <v>0</v>
      </c>
      <c r="G245" s="8">
        <v>-7</v>
      </c>
      <c r="H245" s="13">
        <f>SUM(Tabla13[[#This Row],[Balance corte Digecog]:[SALIDA]])</f>
        <v>0</v>
      </c>
      <c r="I245" s="14">
        <v>525</v>
      </c>
      <c r="J245" s="15">
        <f t="shared" si="4"/>
        <v>0</v>
      </c>
      <c r="K245" s="7">
        <v>45198</v>
      </c>
    </row>
    <row r="246" spans="1:11" x14ac:dyDescent="0.3">
      <c r="A246" s="1" t="s">
        <v>29</v>
      </c>
      <c r="B246" s="11" t="s">
        <v>266</v>
      </c>
      <c r="C246" s="8"/>
      <c r="D246" s="12">
        <v>45118</v>
      </c>
      <c r="E246" s="8">
        <v>0</v>
      </c>
      <c r="F246" s="8">
        <v>60</v>
      </c>
      <c r="G246" s="8"/>
      <c r="H246" s="13">
        <f>SUM(Tabla13[[#This Row],[Balance corte Digecog]:[SALIDA]])</f>
        <v>60</v>
      </c>
      <c r="I246" s="14">
        <v>11</v>
      </c>
      <c r="J246" s="15">
        <f t="shared" si="4"/>
        <v>660</v>
      </c>
      <c r="K246" s="7">
        <v>45198</v>
      </c>
    </row>
    <row r="247" spans="1:11" x14ac:dyDescent="0.3">
      <c r="A247" s="1" t="s">
        <v>29</v>
      </c>
      <c r="B247" s="11" t="s">
        <v>267</v>
      </c>
      <c r="C247" s="8"/>
      <c r="D247" s="12">
        <v>45118</v>
      </c>
      <c r="E247" s="8">
        <v>0</v>
      </c>
      <c r="F247" s="8">
        <v>52</v>
      </c>
      <c r="G247" s="8"/>
      <c r="H247" s="13">
        <f>SUM(Tabla13[[#This Row],[Balance corte Digecog]:[SALIDA]])</f>
        <v>52</v>
      </c>
      <c r="I247" s="14">
        <v>11</v>
      </c>
      <c r="J247" s="15">
        <f t="shared" si="4"/>
        <v>572</v>
      </c>
      <c r="K247" s="7">
        <v>45198</v>
      </c>
    </row>
    <row r="248" spans="1:11" x14ac:dyDescent="0.3">
      <c r="A248" s="61"/>
      <c r="B248" s="62" t="s">
        <v>407</v>
      </c>
      <c r="C248" s="63" t="s">
        <v>10</v>
      </c>
      <c r="D248" s="12">
        <v>45147</v>
      </c>
      <c r="E248" s="63">
        <v>0</v>
      </c>
      <c r="F248" s="63">
        <v>1</v>
      </c>
      <c r="G248" s="63">
        <v>-1</v>
      </c>
      <c r="H248" s="64">
        <f>SUM(Tabla13[[#This Row],[Balance corte Digecog]:[SALIDA]])</f>
        <v>0</v>
      </c>
      <c r="I248" s="65">
        <v>850</v>
      </c>
      <c r="J248" s="15">
        <f t="shared" ref="J248:J256" si="5">+H248*I248</f>
        <v>0</v>
      </c>
      <c r="K248" s="66"/>
    </row>
    <row r="249" spans="1:11" x14ac:dyDescent="0.3">
      <c r="A249" s="61"/>
      <c r="B249" s="62" t="s">
        <v>408</v>
      </c>
      <c r="C249" s="63" t="s">
        <v>10</v>
      </c>
      <c r="D249" s="12">
        <v>45147</v>
      </c>
      <c r="E249" s="63">
        <v>0</v>
      </c>
      <c r="F249" s="63">
        <v>1</v>
      </c>
      <c r="G249" s="63">
        <v>-1</v>
      </c>
      <c r="H249" s="64">
        <f>SUM(Tabla13[[#This Row],[Balance corte Digecog]:[SALIDA]])</f>
        <v>0</v>
      </c>
      <c r="I249" s="65">
        <v>3000</v>
      </c>
      <c r="J249" s="15">
        <f t="shared" si="5"/>
        <v>0</v>
      </c>
      <c r="K249" s="66"/>
    </row>
    <row r="250" spans="1:11" x14ac:dyDescent="0.3">
      <c r="A250" s="61"/>
      <c r="B250" s="62" t="s">
        <v>409</v>
      </c>
      <c r="C250" s="63" t="s">
        <v>10</v>
      </c>
      <c r="D250" s="12">
        <v>45147</v>
      </c>
      <c r="E250" s="63">
        <v>0</v>
      </c>
      <c r="F250" s="63">
        <v>4</v>
      </c>
      <c r="G250" s="63">
        <v>-4</v>
      </c>
      <c r="H250" s="64">
        <f>SUM(Tabla13[[#This Row],[Balance corte Digecog]:[SALIDA]])</f>
        <v>0</v>
      </c>
      <c r="I250" s="65">
        <v>290</v>
      </c>
      <c r="J250" s="15">
        <f t="shared" si="5"/>
        <v>0</v>
      </c>
      <c r="K250" s="66"/>
    </row>
    <row r="251" spans="1:11" x14ac:dyDescent="0.3">
      <c r="A251" s="61"/>
      <c r="B251" s="62" t="s">
        <v>410</v>
      </c>
      <c r="C251" s="63" t="s">
        <v>411</v>
      </c>
      <c r="D251" s="12">
        <v>45147</v>
      </c>
      <c r="E251" s="63">
        <v>0</v>
      </c>
      <c r="F251" s="63">
        <v>1</v>
      </c>
      <c r="G251" s="63">
        <v>-1</v>
      </c>
      <c r="H251" s="64">
        <f>SUM(Tabla13[[#This Row],[Balance corte Digecog]:[SALIDA]])</f>
        <v>0</v>
      </c>
      <c r="I251" s="65">
        <v>3500</v>
      </c>
      <c r="J251" s="15">
        <f t="shared" si="5"/>
        <v>0</v>
      </c>
      <c r="K251" s="66"/>
    </row>
    <row r="252" spans="1:11" x14ac:dyDescent="0.3">
      <c r="A252" s="61"/>
      <c r="B252" s="62" t="s">
        <v>413</v>
      </c>
      <c r="C252" s="63" t="s">
        <v>412</v>
      </c>
      <c r="D252" s="12">
        <v>45147</v>
      </c>
      <c r="E252" s="63">
        <v>0</v>
      </c>
      <c r="F252" s="63">
        <v>4</v>
      </c>
      <c r="G252" s="63">
        <v>-4</v>
      </c>
      <c r="H252" s="64">
        <f>SUM(Tabla13[[#This Row],[Balance corte Digecog]:[SALIDA]])</f>
        <v>0</v>
      </c>
      <c r="I252" s="65">
        <v>200</v>
      </c>
      <c r="J252" s="15">
        <f t="shared" si="5"/>
        <v>0</v>
      </c>
      <c r="K252" s="66"/>
    </row>
    <row r="253" spans="1:11" x14ac:dyDescent="0.3">
      <c r="A253" s="61"/>
      <c r="B253" s="62" t="s">
        <v>414</v>
      </c>
      <c r="C253" s="63" t="s">
        <v>415</v>
      </c>
      <c r="D253" s="12">
        <v>45147</v>
      </c>
      <c r="E253" s="63">
        <v>0</v>
      </c>
      <c r="F253" s="63">
        <v>1</v>
      </c>
      <c r="G253" s="63">
        <v>-1</v>
      </c>
      <c r="H253" s="64">
        <f>SUM(Tabla13[[#This Row],[Balance corte Digecog]:[SALIDA]])</f>
        <v>0</v>
      </c>
      <c r="I253" s="65">
        <v>1166</v>
      </c>
      <c r="J253" s="15">
        <f t="shared" si="5"/>
        <v>0</v>
      </c>
      <c r="K253" s="66"/>
    </row>
    <row r="254" spans="1:11" x14ac:dyDescent="0.3">
      <c r="A254" s="61"/>
      <c r="B254" s="62" t="s">
        <v>416</v>
      </c>
      <c r="C254" s="63" t="s">
        <v>415</v>
      </c>
      <c r="D254" s="12">
        <v>45147</v>
      </c>
      <c r="E254" s="63">
        <v>0</v>
      </c>
      <c r="F254" s="63">
        <v>1</v>
      </c>
      <c r="G254" s="63">
        <v>-1</v>
      </c>
      <c r="H254" s="64">
        <f>SUM(Tabla13[[#This Row],[Balance corte Digecog]:[SALIDA]])</f>
        <v>0</v>
      </c>
      <c r="I254" s="65">
        <v>1370</v>
      </c>
      <c r="J254" s="15">
        <f t="shared" si="5"/>
        <v>0</v>
      </c>
      <c r="K254" s="66"/>
    </row>
    <row r="255" spans="1:11" ht="30.6" customHeight="1" x14ac:dyDescent="0.3">
      <c r="A255" s="61"/>
      <c r="B255" s="62" t="s">
        <v>420</v>
      </c>
      <c r="C255" s="63" t="s">
        <v>417</v>
      </c>
      <c r="D255" s="12">
        <v>45147</v>
      </c>
      <c r="E255" s="63">
        <v>0</v>
      </c>
      <c r="F255" s="63">
        <v>1</v>
      </c>
      <c r="G255" s="63">
        <v>-1</v>
      </c>
      <c r="H255" s="64">
        <f>SUM(Tabla13[[#This Row],[Balance corte Digecog]:[SALIDA]])</f>
        <v>0</v>
      </c>
      <c r="I255" s="65">
        <v>1550</v>
      </c>
      <c r="J255" s="15">
        <f t="shared" si="5"/>
        <v>0</v>
      </c>
      <c r="K255" s="66"/>
    </row>
    <row r="256" spans="1:11" ht="32.4" customHeight="1" x14ac:dyDescent="0.3">
      <c r="A256" s="61"/>
      <c r="B256" s="62" t="s">
        <v>419</v>
      </c>
      <c r="C256" s="63" t="s">
        <v>418</v>
      </c>
      <c r="D256" s="12">
        <v>45147</v>
      </c>
      <c r="E256" s="63">
        <v>0</v>
      </c>
      <c r="F256" s="63">
        <v>1</v>
      </c>
      <c r="G256" s="63">
        <v>-1</v>
      </c>
      <c r="H256" s="64">
        <f>SUM(Tabla13[[#This Row],[Balance corte Digecog]:[SALIDA]])</f>
        <v>0</v>
      </c>
      <c r="I256" s="65">
        <v>2400</v>
      </c>
      <c r="J256" s="15">
        <f t="shared" si="5"/>
        <v>0</v>
      </c>
      <c r="K256" s="66"/>
    </row>
    <row r="257" spans="1:11" x14ac:dyDescent="0.3">
      <c r="A257" s="1" t="s">
        <v>29</v>
      </c>
      <c r="B257" s="11" t="s">
        <v>268</v>
      </c>
      <c r="C257" s="8"/>
      <c r="D257" s="12">
        <v>45147</v>
      </c>
      <c r="E257" s="8">
        <v>0</v>
      </c>
      <c r="F257" s="8">
        <v>47</v>
      </c>
      <c r="G257" s="8">
        <v>0</v>
      </c>
      <c r="H257" s="13">
        <f>SUM(Tabla13[[#This Row],[Balance corte Digecog]:[SALIDA]])</f>
        <v>47</v>
      </c>
      <c r="I257" s="14">
        <v>11</v>
      </c>
      <c r="J257" s="15">
        <f t="shared" si="4"/>
        <v>517</v>
      </c>
      <c r="K257" s="7">
        <v>45198</v>
      </c>
    </row>
    <row r="258" spans="1:11" x14ac:dyDescent="0.3">
      <c r="A258" s="1" t="s">
        <v>29</v>
      </c>
      <c r="B258" s="11" t="s">
        <v>269</v>
      </c>
      <c r="C258" s="8"/>
      <c r="D258" s="12">
        <v>45118</v>
      </c>
      <c r="E258" s="8">
        <v>0</v>
      </c>
      <c r="F258" s="8">
        <v>60</v>
      </c>
      <c r="G258" s="8"/>
      <c r="H258" s="13">
        <f>SUM(Tabla13[[#This Row],[Balance corte Digecog]:[SALIDA]])</f>
        <v>60</v>
      </c>
      <c r="I258" s="14">
        <v>11</v>
      </c>
      <c r="J258" s="15">
        <f t="shared" si="4"/>
        <v>660</v>
      </c>
      <c r="K258" s="7">
        <v>45198</v>
      </c>
    </row>
    <row r="259" spans="1:11" ht="29.4" customHeight="1" x14ac:dyDescent="0.3">
      <c r="A259" s="1" t="s">
        <v>29</v>
      </c>
      <c r="B259" s="11" t="s">
        <v>270</v>
      </c>
      <c r="C259" s="8" t="s">
        <v>10</v>
      </c>
      <c r="D259" s="12">
        <v>45118</v>
      </c>
      <c r="E259" s="8">
        <v>52</v>
      </c>
      <c r="F259" s="8">
        <v>0</v>
      </c>
      <c r="G259" s="8">
        <v>-47</v>
      </c>
      <c r="H259" s="13">
        <f>SUM(Tabla13[[#This Row],[Balance corte Digecog]:[SALIDA]])</f>
        <v>5</v>
      </c>
      <c r="I259" s="14">
        <v>10</v>
      </c>
      <c r="J259" s="15">
        <f>Tabla13[[#This Row],[PRECIO UNIT. ]]*Tabla13[[#This Row],[EXISTENCIA]]</f>
        <v>50</v>
      </c>
      <c r="K259" s="7">
        <v>45198</v>
      </c>
    </row>
    <row r="260" spans="1:11" x14ac:dyDescent="0.3">
      <c r="A260" s="16" t="s">
        <v>64</v>
      </c>
      <c r="B260" s="11" t="s">
        <v>271</v>
      </c>
      <c r="C260" s="8" t="s">
        <v>10</v>
      </c>
      <c r="D260" s="12">
        <v>45184</v>
      </c>
      <c r="E260" s="8">
        <v>0</v>
      </c>
      <c r="F260" s="8">
        <v>150</v>
      </c>
      <c r="G260" s="8">
        <v>-12</v>
      </c>
      <c r="H260" s="13">
        <f>SUM(Tabla13[[#This Row],[Balance corte Digecog]:[SALIDA]])</f>
        <v>138</v>
      </c>
      <c r="I260" s="14">
        <v>77.400000000000006</v>
      </c>
      <c r="J260" s="15">
        <f>+H260*I260</f>
        <v>10681.2</v>
      </c>
      <c r="K260" s="7">
        <v>45198</v>
      </c>
    </row>
    <row r="261" spans="1:11" x14ac:dyDescent="0.3">
      <c r="A261" s="8" t="s">
        <v>20</v>
      </c>
      <c r="B261" s="11" t="s">
        <v>272</v>
      </c>
      <c r="C261" s="20" t="s">
        <v>273</v>
      </c>
      <c r="D261" s="20"/>
      <c r="E261" s="8">
        <v>2</v>
      </c>
      <c r="F261" s="8">
        <v>0</v>
      </c>
      <c r="G261" s="8">
        <v>0</v>
      </c>
      <c r="H261" s="13">
        <f>SUM(Tabla13[[#This Row],[Balance corte Digecog]:[SALIDA]])</f>
        <v>2</v>
      </c>
      <c r="I261" s="14">
        <v>1894.97</v>
      </c>
      <c r="J261" s="15">
        <f>2*1894.97</f>
        <v>3789.94</v>
      </c>
      <c r="K261" s="7">
        <v>45198</v>
      </c>
    </row>
    <row r="262" spans="1:11" x14ac:dyDescent="0.3">
      <c r="A262" s="1" t="s">
        <v>29</v>
      </c>
      <c r="B262" s="11" t="s">
        <v>274</v>
      </c>
      <c r="C262" s="8" t="s">
        <v>10</v>
      </c>
      <c r="D262" s="8"/>
      <c r="E262" s="8">
        <v>32</v>
      </c>
      <c r="F262" s="8">
        <v>0</v>
      </c>
      <c r="G262" s="8">
        <v>-7</v>
      </c>
      <c r="H262" s="13">
        <f>SUM(Tabla13[[#This Row],[Balance corte Digecog]:[SALIDA]])</f>
        <v>25</v>
      </c>
      <c r="I262" s="14">
        <v>21.64</v>
      </c>
      <c r="J262" s="15">
        <f>32*21.64</f>
        <v>692.48</v>
      </c>
      <c r="K262" s="7">
        <v>45198</v>
      </c>
    </row>
    <row r="263" spans="1:11" x14ac:dyDescent="0.3">
      <c r="A263" s="1" t="s">
        <v>29</v>
      </c>
      <c r="B263" s="11" t="s">
        <v>275</v>
      </c>
      <c r="C263" s="8" t="s">
        <v>10</v>
      </c>
      <c r="D263" s="8"/>
      <c r="E263" s="8">
        <v>17</v>
      </c>
      <c r="F263" s="8">
        <v>0</v>
      </c>
      <c r="G263" s="8">
        <v>0</v>
      </c>
      <c r="H263" s="13">
        <f>SUM(Tabla13[[#This Row],[Balance corte Digecog]:[SALIDA]])</f>
        <v>17</v>
      </c>
      <c r="I263" s="14">
        <v>3</v>
      </c>
      <c r="J263" s="15">
        <f>17*3</f>
        <v>51</v>
      </c>
      <c r="K263" s="7">
        <v>45198</v>
      </c>
    </row>
    <row r="264" spans="1:11" ht="33.6" customHeight="1" x14ac:dyDescent="0.3">
      <c r="A264" s="1" t="s">
        <v>29</v>
      </c>
      <c r="B264" s="11" t="s">
        <v>276</v>
      </c>
      <c r="C264" s="8" t="s">
        <v>10</v>
      </c>
      <c r="D264" s="12">
        <v>45118</v>
      </c>
      <c r="E264" s="8">
        <v>0</v>
      </c>
      <c r="F264" s="8">
        <v>60</v>
      </c>
      <c r="G264" s="8">
        <v>-23</v>
      </c>
      <c r="H264" s="13">
        <f>SUM(Tabla13[[#This Row],[Balance corte Digecog]:[SALIDA]])</f>
        <v>37</v>
      </c>
      <c r="I264" s="14">
        <v>4.7</v>
      </c>
      <c r="J264" s="15">
        <f>4.7*29</f>
        <v>136.30000000000001</v>
      </c>
      <c r="K264" s="7">
        <v>45198</v>
      </c>
    </row>
    <row r="265" spans="1:11" ht="42.6" customHeight="1" x14ac:dyDescent="0.3">
      <c r="A265" s="10" t="s">
        <v>13</v>
      </c>
      <c r="B265" s="11" t="s">
        <v>277</v>
      </c>
      <c r="C265" s="8" t="s">
        <v>10</v>
      </c>
      <c r="D265" s="12">
        <v>45092</v>
      </c>
      <c r="E265" s="8">
        <v>0</v>
      </c>
      <c r="F265" s="8">
        <v>3</v>
      </c>
      <c r="G265" s="8">
        <v>-3</v>
      </c>
      <c r="H265" s="13">
        <f>SUM(Tabla13[[#This Row],[Balance corte Digecog]:[SALIDA]])</f>
        <v>0</v>
      </c>
      <c r="I265" s="14">
        <v>18962.55</v>
      </c>
      <c r="J265" s="15">
        <f>Tabla13[[#This Row],[PRECIO UNIT. ]]*Tabla13[[#This Row],[ENTRADA]]</f>
        <v>56887.649999999994</v>
      </c>
      <c r="K265" s="7">
        <v>45198</v>
      </c>
    </row>
    <row r="266" spans="1:11" ht="37.200000000000003" customHeight="1" x14ac:dyDescent="0.3">
      <c r="A266" s="1" t="s">
        <v>36</v>
      </c>
      <c r="B266" s="11" t="s">
        <v>278</v>
      </c>
      <c r="C266" s="8" t="s">
        <v>10</v>
      </c>
      <c r="D266" s="8"/>
      <c r="E266" s="8">
        <v>1</v>
      </c>
      <c r="F266" s="8">
        <v>0</v>
      </c>
      <c r="G266" s="8">
        <v>0</v>
      </c>
      <c r="H266" s="13">
        <f>SUM(Tabla13[[#This Row],[Balance corte Digecog]:[SALIDA]])</f>
        <v>1</v>
      </c>
      <c r="I266" s="14">
        <v>35</v>
      </c>
      <c r="J266" s="15">
        <f>+H266*I266</f>
        <v>35</v>
      </c>
      <c r="K266" s="7">
        <v>45198</v>
      </c>
    </row>
    <row r="267" spans="1:11" ht="28.2" customHeight="1" x14ac:dyDescent="0.3">
      <c r="A267" s="8" t="s">
        <v>8</v>
      </c>
      <c r="B267" s="11" t="s">
        <v>279</v>
      </c>
      <c r="C267" s="8" t="s">
        <v>25</v>
      </c>
      <c r="D267" s="8"/>
      <c r="E267" s="8">
        <v>72</v>
      </c>
      <c r="F267" s="8">
        <v>0</v>
      </c>
      <c r="G267" s="8">
        <v>-49</v>
      </c>
      <c r="H267" s="13">
        <f>SUM(Tabla13[[#This Row],[Balance corte Digecog]:[SALIDA]])</f>
        <v>23</v>
      </c>
      <c r="I267" s="14">
        <v>100</v>
      </c>
      <c r="J267" s="15">
        <f>72*100</f>
        <v>7200</v>
      </c>
      <c r="K267" s="7">
        <v>45198</v>
      </c>
    </row>
    <row r="268" spans="1:11" ht="27.6" customHeight="1" x14ac:dyDescent="0.3">
      <c r="A268" s="1" t="s">
        <v>8</v>
      </c>
      <c r="B268" s="11" t="s">
        <v>279</v>
      </c>
      <c r="C268" s="8" t="s">
        <v>25</v>
      </c>
      <c r="D268" s="12">
        <v>45170</v>
      </c>
      <c r="E268" s="8">
        <v>0</v>
      </c>
      <c r="F268" s="8">
        <v>80</v>
      </c>
      <c r="G268" s="8">
        <v>0</v>
      </c>
      <c r="H268" s="13">
        <f>SUM(Tabla13[[#This Row],[Balance corte Digecog]:[SALIDA]])</f>
        <v>80</v>
      </c>
      <c r="I268" s="14">
        <v>90</v>
      </c>
      <c r="J268" s="15">
        <f>+H268*I268</f>
        <v>7200</v>
      </c>
      <c r="K268" s="7">
        <v>45198</v>
      </c>
    </row>
    <row r="269" spans="1:11" x14ac:dyDescent="0.3">
      <c r="A269" s="1" t="s">
        <v>29</v>
      </c>
      <c r="B269" s="11" t="s">
        <v>280</v>
      </c>
      <c r="C269" s="8" t="s">
        <v>10</v>
      </c>
      <c r="D269" s="12">
        <v>45127</v>
      </c>
      <c r="E269" s="8">
        <v>0</v>
      </c>
      <c r="F269" s="8">
        <v>30</v>
      </c>
      <c r="G269" s="8">
        <v>0</v>
      </c>
      <c r="H269" s="13">
        <f>SUM(Tabla13[[#This Row],[Balance corte Digecog]:[SALIDA]])</f>
        <v>30</v>
      </c>
      <c r="I269" s="14">
        <v>45</v>
      </c>
      <c r="J269" s="15">
        <f>+H269*I269</f>
        <v>1350</v>
      </c>
      <c r="K269" s="7">
        <v>45198</v>
      </c>
    </row>
    <row r="270" spans="1:11" x14ac:dyDescent="0.3">
      <c r="A270" s="1" t="s">
        <v>29</v>
      </c>
      <c r="B270" s="11" t="s">
        <v>281</v>
      </c>
      <c r="C270" s="8" t="s">
        <v>10</v>
      </c>
      <c r="D270" s="12">
        <v>45118</v>
      </c>
      <c r="E270" s="8">
        <v>0</v>
      </c>
      <c r="F270" s="8">
        <v>60</v>
      </c>
      <c r="G270" s="8">
        <v>-1</v>
      </c>
      <c r="H270" s="13">
        <f>SUM(Tabla13[[#This Row],[Balance corte Digecog]:[SALIDA]])</f>
        <v>59</v>
      </c>
      <c r="I270" s="14">
        <v>151.97</v>
      </c>
      <c r="J270" s="15">
        <f>+H270*I270</f>
        <v>8966.23</v>
      </c>
      <c r="K270" s="7">
        <v>45198</v>
      </c>
    </row>
    <row r="271" spans="1:11" x14ac:dyDescent="0.3">
      <c r="A271" s="1" t="s">
        <v>29</v>
      </c>
      <c r="B271" s="11" t="s">
        <v>282</v>
      </c>
      <c r="C271" s="8" t="s">
        <v>10</v>
      </c>
      <c r="D271" s="8"/>
      <c r="E271" s="8">
        <v>7</v>
      </c>
      <c r="F271" s="8">
        <v>0</v>
      </c>
      <c r="G271" s="8">
        <v>-4</v>
      </c>
      <c r="H271" s="13">
        <f>SUM(Tabla13[[#This Row],[Balance corte Digecog]:[SALIDA]])</f>
        <v>3</v>
      </c>
      <c r="I271" s="14">
        <v>72.459999999999994</v>
      </c>
      <c r="J271" s="15">
        <f>7*72.46</f>
        <v>507.21999999999997</v>
      </c>
      <c r="K271" s="7">
        <v>45198</v>
      </c>
    </row>
    <row r="272" spans="1:11" ht="35.4" customHeight="1" x14ac:dyDescent="0.3">
      <c r="A272" s="1" t="s">
        <v>29</v>
      </c>
      <c r="B272" s="11" t="s">
        <v>283</v>
      </c>
      <c r="C272" s="8" t="s">
        <v>10</v>
      </c>
      <c r="D272" s="8"/>
      <c r="E272" s="8">
        <v>63</v>
      </c>
      <c r="F272" s="8">
        <v>0</v>
      </c>
      <c r="G272" s="8">
        <v>0</v>
      </c>
      <c r="H272" s="13">
        <f>SUM(Tabla13[[#This Row],[Balance corte Digecog]:[SALIDA]])</f>
        <v>63</v>
      </c>
      <c r="I272" s="14">
        <v>63.56</v>
      </c>
      <c r="J272" s="15">
        <f>63*63.56</f>
        <v>4004.28</v>
      </c>
      <c r="K272" s="7">
        <v>45198</v>
      </c>
    </row>
    <row r="273" spans="1:11" x14ac:dyDescent="0.3">
      <c r="A273" s="1"/>
      <c r="B273" s="11" t="s">
        <v>284</v>
      </c>
      <c r="C273" s="8" t="s">
        <v>10</v>
      </c>
      <c r="D273" s="12">
        <v>45177</v>
      </c>
      <c r="E273" s="8">
        <v>0</v>
      </c>
      <c r="F273" s="8">
        <v>100</v>
      </c>
      <c r="G273" s="8">
        <v>-100</v>
      </c>
      <c r="H273" s="13">
        <f>SUM(Tabla13[[#This Row],[Balance corte Digecog]:[SALIDA]])</f>
        <v>0</v>
      </c>
      <c r="I273" s="14">
        <v>768</v>
      </c>
      <c r="J273" s="15">
        <f>+H273*I273</f>
        <v>0</v>
      </c>
      <c r="K273" s="7">
        <v>45198</v>
      </c>
    </row>
    <row r="274" spans="1:11" ht="48" x14ac:dyDescent="0.3">
      <c r="A274" s="1"/>
      <c r="B274" s="11" t="s">
        <v>285</v>
      </c>
      <c r="C274" s="8" t="s">
        <v>10</v>
      </c>
      <c r="D274" s="12">
        <v>45177</v>
      </c>
      <c r="E274" s="8">
        <v>0</v>
      </c>
      <c r="F274" s="8">
        <v>1</v>
      </c>
      <c r="G274" s="8">
        <v>-1</v>
      </c>
      <c r="H274" s="13">
        <f>SUM(Tabla13[[#This Row],[Balance corte Digecog]:[SALIDA]])</f>
        <v>0</v>
      </c>
      <c r="I274" s="14">
        <v>10320</v>
      </c>
      <c r="J274" s="15">
        <f>+H274*I274</f>
        <v>0</v>
      </c>
      <c r="K274" s="7">
        <v>45198</v>
      </c>
    </row>
    <row r="275" spans="1:11" ht="28.2" customHeight="1" x14ac:dyDescent="0.3">
      <c r="A275" s="1"/>
      <c r="B275" s="11" t="s">
        <v>394</v>
      </c>
      <c r="C275" s="8" t="s">
        <v>10</v>
      </c>
      <c r="D275" s="12">
        <v>45177</v>
      </c>
      <c r="E275" s="8">
        <v>0</v>
      </c>
      <c r="F275" s="8">
        <v>1</v>
      </c>
      <c r="G275" s="8">
        <v>-1</v>
      </c>
      <c r="H275" s="13">
        <f>SUM(Tabla13[[#This Row],[Balance corte Digecog]:[SALIDA]])</f>
        <v>0</v>
      </c>
      <c r="I275" s="14">
        <v>9200</v>
      </c>
      <c r="J275" s="15">
        <f>+H275*I275</f>
        <v>0</v>
      </c>
      <c r="K275" s="7">
        <v>45198</v>
      </c>
    </row>
    <row r="276" spans="1:11" ht="31.2" customHeight="1" x14ac:dyDescent="0.3">
      <c r="A276" s="1"/>
      <c r="B276" s="11" t="s">
        <v>286</v>
      </c>
      <c r="C276" s="8" t="s">
        <v>10</v>
      </c>
      <c r="D276" s="12">
        <v>45177</v>
      </c>
      <c r="E276" s="8">
        <v>0</v>
      </c>
      <c r="F276" s="8">
        <v>6</v>
      </c>
      <c r="G276" s="8">
        <v>-6</v>
      </c>
      <c r="H276" s="13">
        <v>6</v>
      </c>
      <c r="I276" s="14">
        <v>6400</v>
      </c>
      <c r="J276" s="15">
        <f>+H276*I276</f>
        <v>38400</v>
      </c>
      <c r="K276" s="7">
        <v>45198</v>
      </c>
    </row>
    <row r="277" spans="1:11" ht="26.4" customHeight="1" x14ac:dyDescent="0.3">
      <c r="A277" s="1" t="s">
        <v>8</v>
      </c>
      <c r="B277" s="11" t="s">
        <v>287</v>
      </c>
      <c r="C277" s="8" t="s">
        <v>288</v>
      </c>
      <c r="D277" s="12">
        <v>45118</v>
      </c>
      <c r="E277" s="8">
        <v>3</v>
      </c>
      <c r="F277" s="8">
        <v>3</v>
      </c>
      <c r="G277" s="8">
        <v>0</v>
      </c>
      <c r="H277" s="13">
        <f>SUM(Tabla13[[#This Row],[Balance corte Digecog]:[SALIDA]])</f>
        <v>6</v>
      </c>
      <c r="I277" s="14">
        <v>1991.53</v>
      </c>
      <c r="J277" s="15">
        <f>Tabla13[[#This Row],[PRECIO UNIT. ]]*Tabla13[[#This Row],[EXISTENCIA]]</f>
        <v>11949.18</v>
      </c>
      <c r="K277" s="7">
        <v>45198</v>
      </c>
    </row>
    <row r="278" spans="1:11" ht="21" customHeight="1" x14ac:dyDescent="0.3">
      <c r="A278" s="61"/>
      <c r="B278" s="62" t="s">
        <v>429</v>
      </c>
      <c r="C278" s="63" t="s">
        <v>426</v>
      </c>
      <c r="D278" s="12">
        <v>45197</v>
      </c>
      <c r="E278" s="63">
        <v>0</v>
      </c>
      <c r="F278" s="63">
        <v>1</v>
      </c>
      <c r="G278" s="63">
        <v>-1</v>
      </c>
      <c r="H278" s="64">
        <f>SUM(Tabla13[[#This Row],[Balance corte Digecog]:[SALIDA]])</f>
        <v>0</v>
      </c>
      <c r="I278" s="65">
        <v>65088</v>
      </c>
      <c r="J278" s="15">
        <f>+H278*I278</f>
        <v>0</v>
      </c>
      <c r="K278" s="66"/>
    </row>
    <row r="279" spans="1:11" ht="24" x14ac:dyDescent="0.3">
      <c r="A279" s="61"/>
      <c r="B279" s="62" t="s">
        <v>430</v>
      </c>
      <c r="C279" s="63" t="s">
        <v>418</v>
      </c>
      <c r="D279" s="12">
        <v>45197</v>
      </c>
      <c r="E279" s="63">
        <v>0</v>
      </c>
      <c r="F279" s="63">
        <v>3</v>
      </c>
      <c r="G279" s="63">
        <v>-3</v>
      </c>
      <c r="H279" s="64">
        <f>SUM(Tabla13[[#This Row],[Balance corte Digecog]:[SALIDA]])</f>
        <v>0</v>
      </c>
      <c r="I279" s="65">
        <v>11640.75</v>
      </c>
      <c r="J279" s="15">
        <f>+H279*I279</f>
        <v>0</v>
      </c>
      <c r="K279" s="66"/>
    </row>
    <row r="280" spans="1:11" ht="21" customHeight="1" x14ac:dyDescent="0.3">
      <c r="A280" s="61"/>
      <c r="B280" s="62" t="s">
        <v>431</v>
      </c>
      <c r="C280" s="63" t="s">
        <v>418</v>
      </c>
      <c r="D280" s="12">
        <v>45197</v>
      </c>
      <c r="E280" s="63">
        <v>0</v>
      </c>
      <c r="F280" s="63">
        <v>2</v>
      </c>
      <c r="G280" s="63">
        <v>-2</v>
      </c>
      <c r="H280" s="64">
        <f>SUM(Tabla13[[#This Row],[Balance corte Digecog]:[SALIDA]])</f>
        <v>0</v>
      </c>
      <c r="I280" s="65">
        <v>3272.5</v>
      </c>
      <c r="J280" s="15">
        <f>+H280*I280</f>
        <v>0</v>
      </c>
      <c r="K280" s="66"/>
    </row>
    <row r="281" spans="1:11" ht="24" customHeight="1" x14ac:dyDescent="0.3">
      <c r="A281" s="61"/>
      <c r="B281" s="62" t="s">
        <v>432</v>
      </c>
      <c r="C281" s="63" t="s">
        <v>418</v>
      </c>
      <c r="D281" s="12">
        <v>45197</v>
      </c>
      <c r="E281" s="63">
        <v>0</v>
      </c>
      <c r="F281" s="63">
        <v>500</v>
      </c>
      <c r="G281" s="63">
        <v>-500</v>
      </c>
      <c r="H281" s="64">
        <f>SUM(Tabla13[[#This Row],[Balance corte Digecog]:[SALIDA]])</f>
        <v>0</v>
      </c>
      <c r="I281" s="65">
        <v>36800</v>
      </c>
      <c r="J281" s="15">
        <f>+H281*I281</f>
        <v>0</v>
      </c>
      <c r="K281" s="66"/>
    </row>
    <row r="282" spans="1:11" ht="22.2" customHeight="1" x14ac:dyDescent="0.3">
      <c r="A282" s="61"/>
      <c r="B282" s="62"/>
      <c r="C282" s="63"/>
      <c r="D282" s="12"/>
      <c r="E282" s="63"/>
      <c r="F282" s="63"/>
      <c r="G282" s="63"/>
      <c r="H282" s="64">
        <f>SUM(Tabla13[[#This Row],[Balance corte Digecog]:[SALIDA]])</f>
        <v>0</v>
      </c>
      <c r="I282" s="65"/>
      <c r="J282" s="15">
        <f>+H282*I282</f>
        <v>0</v>
      </c>
      <c r="K282" s="66"/>
    </row>
    <row r="283" spans="1:11" ht="27.6" customHeight="1" x14ac:dyDescent="0.3">
      <c r="A283" s="1" t="s">
        <v>8</v>
      </c>
      <c r="B283" s="11" t="s">
        <v>289</v>
      </c>
      <c r="C283" s="8" t="s">
        <v>290</v>
      </c>
      <c r="D283" s="8"/>
      <c r="E283" s="8">
        <v>0</v>
      </c>
      <c r="F283" s="8">
        <v>3</v>
      </c>
      <c r="G283" s="8">
        <v>0</v>
      </c>
      <c r="H283" s="13">
        <f>SUM(Tabla13[[#This Row],[Balance corte Digecog]:[SALIDA]])</f>
        <v>3</v>
      </c>
      <c r="I283" s="14">
        <v>2279.66</v>
      </c>
      <c r="J283" s="15">
        <f>3*2279.66</f>
        <v>6838.98</v>
      </c>
      <c r="K283" s="7">
        <v>45198</v>
      </c>
    </row>
    <row r="284" spans="1:11" ht="20.399999999999999" customHeight="1" x14ac:dyDescent="0.3">
      <c r="A284" s="1" t="s">
        <v>8</v>
      </c>
      <c r="B284" s="11" t="s">
        <v>291</v>
      </c>
      <c r="C284" s="8" t="s">
        <v>292</v>
      </c>
      <c r="D284" s="8"/>
      <c r="E284" s="8">
        <v>6</v>
      </c>
      <c r="F284" s="8">
        <v>0</v>
      </c>
      <c r="G284" s="8">
        <v>0</v>
      </c>
      <c r="H284" s="13">
        <f>SUM(Tabla13[[#This Row],[Balance corte Digecog]:[SALIDA]])</f>
        <v>6</v>
      </c>
      <c r="I284" s="14">
        <v>635.59</v>
      </c>
      <c r="J284" s="15">
        <f>6*635.59</f>
        <v>3813.54</v>
      </c>
      <c r="K284" s="7">
        <v>45198</v>
      </c>
    </row>
    <row r="285" spans="1:11" ht="25.8" customHeight="1" x14ac:dyDescent="0.3">
      <c r="A285" s="1" t="s">
        <v>8</v>
      </c>
      <c r="B285" s="11" t="s">
        <v>293</v>
      </c>
      <c r="C285" s="8" t="s">
        <v>288</v>
      </c>
      <c r="D285" s="8"/>
      <c r="E285" s="8">
        <v>3</v>
      </c>
      <c r="F285" s="8">
        <v>0</v>
      </c>
      <c r="G285" s="8">
        <v>0</v>
      </c>
      <c r="H285" s="13">
        <f>SUM(Tabla13[[#This Row],[Balance corte Digecog]:[SALIDA]])</f>
        <v>3</v>
      </c>
      <c r="I285" s="14">
        <v>1500</v>
      </c>
      <c r="J285" s="15">
        <f>3*1500</f>
        <v>4500</v>
      </c>
      <c r="K285" s="7">
        <v>45198</v>
      </c>
    </row>
    <row r="286" spans="1:11" ht="23.4" customHeight="1" x14ac:dyDescent="0.3">
      <c r="A286" s="1" t="s">
        <v>8</v>
      </c>
      <c r="B286" s="11" t="s">
        <v>294</v>
      </c>
      <c r="C286" s="8" t="s">
        <v>288</v>
      </c>
      <c r="D286" s="8"/>
      <c r="E286" s="8">
        <v>3</v>
      </c>
      <c r="F286" s="8">
        <v>0</v>
      </c>
      <c r="G286" s="8">
        <v>0</v>
      </c>
      <c r="H286" s="13">
        <f>SUM(Tabla13[[#This Row],[Balance corte Digecog]:[SALIDA]])</f>
        <v>3</v>
      </c>
      <c r="I286" s="14">
        <v>3500</v>
      </c>
      <c r="J286" s="15">
        <f>3*3500</f>
        <v>10500</v>
      </c>
      <c r="K286" s="7">
        <v>45198</v>
      </c>
    </row>
    <row r="287" spans="1:11" ht="24" customHeight="1" x14ac:dyDescent="0.3">
      <c r="A287" s="1" t="s">
        <v>8</v>
      </c>
      <c r="B287" s="11" t="s">
        <v>295</v>
      </c>
      <c r="C287" s="8" t="s">
        <v>10</v>
      </c>
      <c r="D287" s="8"/>
      <c r="E287" s="8">
        <v>129</v>
      </c>
      <c r="F287" s="8">
        <v>0</v>
      </c>
      <c r="G287" s="8">
        <v>0</v>
      </c>
      <c r="H287" s="13">
        <f>SUM(Tabla13[[#This Row],[Balance corte Digecog]:[SALIDA]])</f>
        <v>129</v>
      </c>
      <c r="I287" s="14">
        <v>4</v>
      </c>
      <c r="J287" s="15">
        <f>129*4</f>
        <v>516</v>
      </c>
      <c r="K287" s="7">
        <v>45198</v>
      </c>
    </row>
    <row r="288" spans="1:11" ht="25.8" customHeight="1" x14ac:dyDescent="0.3">
      <c r="A288" s="8" t="s">
        <v>17</v>
      </c>
      <c r="B288" s="11" t="s">
        <v>296</v>
      </c>
      <c r="C288" s="8" t="s">
        <v>10</v>
      </c>
      <c r="D288" s="8"/>
      <c r="E288" s="8">
        <v>104</v>
      </c>
      <c r="F288" s="8">
        <v>0</v>
      </c>
      <c r="G288" s="8">
        <v>-32</v>
      </c>
      <c r="H288" s="13">
        <f>SUM(Tabla13[[#This Row],[Balance corte Digecog]:[SALIDA]])</f>
        <v>72</v>
      </c>
      <c r="I288" s="14">
        <v>181.72</v>
      </c>
      <c r="J288" s="15">
        <f>104*181.72</f>
        <v>18898.88</v>
      </c>
      <c r="K288" s="7">
        <v>45198</v>
      </c>
    </row>
    <row r="289" spans="1:11" ht="18" customHeight="1" x14ac:dyDescent="0.3">
      <c r="A289" s="10" t="s">
        <v>13</v>
      </c>
      <c r="B289" s="11" t="s">
        <v>297</v>
      </c>
      <c r="C289" s="8" t="s">
        <v>10</v>
      </c>
      <c r="D289" s="8"/>
      <c r="E289" s="8">
        <v>0</v>
      </c>
      <c r="F289" s="8">
        <v>1</v>
      </c>
      <c r="G289" s="8">
        <v>-1</v>
      </c>
      <c r="H289" s="13">
        <f>SUM(Tabla13[[#This Row],[Balance corte Digecog]:[SALIDA]])</f>
        <v>0</v>
      </c>
      <c r="I289" s="14">
        <v>28910</v>
      </c>
      <c r="J289" s="15">
        <f>+H289*I289</f>
        <v>0</v>
      </c>
      <c r="K289" s="7">
        <v>45198</v>
      </c>
    </row>
    <row r="290" spans="1:11" ht="20.399999999999999" customHeight="1" x14ac:dyDescent="0.3">
      <c r="A290" s="10" t="s">
        <v>13</v>
      </c>
      <c r="B290" s="11" t="s">
        <v>298</v>
      </c>
      <c r="C290" s="8" t="s">
        <v>10</v>
      </c>
      <c r="D290" s="12">
        <v>45103</v>
      </c>
      <c r="E290" s="8">
        <v>0</v>
      </c>
      <c r="F290" s="8">
        <v>1</v>
      </c>
      <c r="G290" s="8">
        <v>-1</v>
      </c>
      <c r="H290" s="13">
        <f>SUM(Tabla13[[#This Row],[Balance corte Digecog]:[SALIDA]])</f>
        <v>0</v>
      </c>
      <c r="I290" s="14">
        <v>24500</v>
      </c>
      <c r="J290" s="15">
        <f>+H290*I290</f>
        <v>0</v>
      </c>
      <c r="K290" s="7">
        <v>45198</v>
      </c>
    </row>
    <row r="291" spans="1:11" ht="19.2" customHeight="1" x14ac:dyDescent="0.3">
      <c r="A291" s="1" t="s">
        <v>8</v>
      </c>
      <c r="B291" s="11" t="s">
        <v>299</v>
      </c>
      <c r="C291" s="8" t="s">
        <v>300</v>
      </c>
      <c r="D291" s="12">
        <v>45152</v>
      </c>
      <c r="E291" s="8">
        <v>0</v>
      </c>
      <c r="F291" s="8">
        <v>100</v>
      </c>
      <c r="G291" s="8">
        <v>-97</v>
      </c>
      <c r="H291" s="13">
        <f>SUM(Tabla13[[#This Row],[Balance corte Digecog]:[SALIDA]])</f>
        <v>3</v>
      </c>
      <c r="I291" s="14">
        <v>395</v>
      </c>
      <c r="J291" s="15">
        <f>+H291*I291</f>
        <v>1185</v>
      </c>
      <c r="K291" s="7">
        <v>45198</v>
      </c>
    </row>
    <row r="292" spans="1:11" ht="24" customHeight="1" x14ac:dyDescent="0.3">
      <c r="A292" s="1" t="s">
        <v>64</v>
      </c>
      <c r="B292" s="11" t="s">
        <v>301</v>
      </c>
      <c r="C292" s="8" t="s">
        <v>10</v>
      </c>
      <c r="D292" s="8"/>
      <c r="E292" s="8">
        <v>2</v>
      </c>
      <c r="F292" s="8">
        <v>0</v>
      </c>
      <c r="G292" s="8">
        <v>0</v>
      </c>
      <c r="H292" s="13">
        <f>SUM(Tabla13[[#This Row],[Balance corte Digecog]:[SALIDA]])</f>
        <v>2</v>
      </c>
      <c r="I292" s="14">
        <v>1560</v>
      </c>
      <c r="J292" s="15">
        <f>2*1560</f>
        <v>3120</v>
      </c>
      <c r="K292" s="7">
        <v>45198</v>
      </c>
    </row>
    <row r="293" spans="1:11" x14ac:dyDescent="0.3">
      <c r="A293" s="1" t="s">
        <v>36</v>
      </c>
      <c r="B293" s="21" t="s">
        <v>302</v>
      </c>
      <c r="C293" s="8" t="s">
        <v>10</v>
      </c>
      <c r="D293" s="8"/>
      <c r="E293" s="8">
        <v>2</v>
      </c>
      <c r="F293" s="8">
        <v>0</v>
      </c>
      <c r="G293" s="8">
        <v>-2</v>
      </c>
      <c r="H293" s="13">
        <v>2</v>
      </c>
      <c r="I293" s="14">
        <v>101.69</v>
      </c>
      <c r="J293" s="15">
        <f>2*101.69</f>
        <v>203.38</v>
      </c>
      <c r="K293" s="7">
        <v>45198</v>
      </c>
    </row>
    <row r="294" spans="1:11" x14ac:dyDescent="0.3">
      <c r="A294" s="1" t="s">
        <v>64</v>
      </c>
      <c r="B294" s="11" t="s">
        <v>303</v>
      </c>
      <c r="C294" s="8" t="s">
        <v>10</v>
      </c>
      <c r="D294" s="8"/>
      <c r="E294" s="8">
        <v>3</v>
      </c>
      <c r="F294" s="8">
        <v>0</v>
      </c>
      <c r="G294" s="8">
        <v>-1</v>
      </c>
      <c r="H294" s="13">
        <v>3</v>
      </c>
      <c r="I294" s="14">
        <v>788.12</v>
      </c>
      <c r="J294" s="15">
        <f>3*788.12</f>
        <v>2364.36</v>
      </c>
      <c r="K294" s="7">
        <v>45198</v>
      </c>
    </row>
    <row r="295" spans="1:11" ht="25.2" customHeight="1" x14ac:dyDescent="0.3">
      <c r="A295" s="1" t="s">
        <v>64</v>
      </c>
      <c r="B295" s="21" t="s">
        <v>304</v>
      </c>
      <c r="C295" s="8" t="s">
        <v>10</v>
      </c>
      <c r="D295" s="8"/>
      <c r="E295" s="8">
        <v>8</v>
      </c>
      <c r="F295" s="8">
        <v>0</v>
      </c>
      <c r="G295" s="8">
        <v>0</v>
      </c>
      <c r="H295" s="13">
        <f>SUM(Tabla13[[#This Row],[Balance corte Digecog]:[SALIDA]])</f>
        <v>8</v>
      </c>
      <c r="I295" s="14">
        <v>288</v>
      </c>
      <c r="J295" s="15">
        <f>8*288</f>
        <v>2304</v>
      </c>
      <c r="K295" s="7">
        <v>45198</v>
      </c>
    </row>
    <row r="296" spans="1:11" x14ac:dyDescent="0.3">
      <c r="A296" s="1" t="s">
        <v>64</v>
      </c>
      <c r="B296" s="21" t="s">
        <v>305</v>
      </c>
      <c r="C296" s="8" t="s">
        <v>10</v>
      </c>
      <c r="D296" s="12">
        <v>45191</v>
      </c>
      <c r="E296" s="8">
        <v>0</v>
      </c>
      <c r="F296" s="8">
        <v>500</v>
      </c>
      <c r="G296" s="8">
        <v>-500</v>
      </c>
      <c r="H296" s="13">
        <f>SUM(Tabla13[[#This Row],[Balance corte Digecog]:[SALIDA]])</f>
        <v>0</v>
      </c>
      <c r="I296" s="14">
        <v>27</v>
      </c>
      <c r="J296" s="15">
        <f>+H296*I296</f>
        <v>0</v>
      </c>
      <c r="K296" s="7">
        <v>45198</v>
      </c>
    </row>
    <row r="297" spans="1:11" ht="27.6" customHeight="1" x14ac:dyDescent="0.3">
      <c r="A297" s="1" t="s">
        <v>29</v>
      </c>
      <c r="B297" s="11" t="s">
        <v>401</v>
      </c>
      <c r="C297" s="8" t="s">
        <v>10</v>
      </c>
      <c r="D297" s="8"/>
      <c r="E297" s="8">
        <v>36</v>
      </c>
      <c r="F297" s="8">
        <v>0</v>
      </c>
      <c r="G297" s="8">
        <v>0</v>
      </c>
      <c r="H297" s="13">
        <f>SUM(Tabla13[[#This Row],[Balance corte Digecog]:[SALIDA]])</f>
        <v>36</v>
      </c>
      <c r="I297" s="14">
        <v>45</v>
      </c>
      <c r="J297" s="15">
        <f>36*45</f>
        <v>1620</v>
      </c>
      <c r="K297" s="7">
        <v>45198</v>
      </c>
    </row>
    <row r="298" spans="1:11" x14ac:dyDescent="0.3">
      <c r="A298" s="1"/>
      <c r="B298" s="11" t="s">
        <v>306</v>
      </c>
      <c r="C298" s="8" t="s">
        <v>10</v>
      </c>
      <c r="D298" s="12">
        <v>45152</v>
      </c>
      <c r="E298" s="8">
        <v>0</v>
      </c>
      <c r="F298" s="8">
        <v>42</v>
      </c>
      <c r="G298" s="8">
        <v>-42</v>
      </c>
      <c r="H298" s="13">
        <f>SUM(Tabla13[[#This Row],[Balance corte Digecog]:[SALIDA]])</f>
        <v>0</v>
      </c>
      <c r="I298" s="14">
        <v>345</v>
      </c>
      <c r="J298" s="15">
        <f>+H298*I298</f>
        <v>0</v>
      </c>
      <c r="K298" s="7">
        <v>45198</v>
      </c>
    </row>
    <row r="299" spans="1:11" x14ac:dyDescent="0.3">
      <c r="A299" s="1"/>
      <c r="B299" s="11" t="s">
        <v>307</v>
      </c>
      <c r="C299" s="8" t="s">
        <v>308</v>
      </c>
      <c r="D299" s="12">
        <v>45149</v>
      </c>
      <c r="E299" s="8">
        <v>0</v>
      </c>
      <c r="F299" s="8">
        <v>25</v>
      </c>
      <c r="G299" s="8">
        <v>-4</v>
      </c>
      <c r="H299" s="13">
        <f>SUM(Tabla13[[#This Row],[Balance corte Digecog]:[SALIDA]])</f>
        <v>21</v>
      </c>
      <c r="I299" s="14">
        <v>115</v>
      </c>
      <c r="J299" s="15">
        <f>+H299*I299</f>
        <v>2415</v>
      </c>
      <c r="K299" s="7">
        <v>45198</v>
      </c>
    </row>
    <row r="300" spans="1:11" x14ac:dyDescent="0.3">
      <c r="A300" s="10" t="s">
        <v>13</v>
      </c>
      <c r="B300" s="11" t="s">
        <v>309</v>
      </c>
      <c r="C300" s="8" t="s">
        <v>10</v>
      </c>
      <c r="D300" s="8"/>
      <c r="E300" s="8">
        <v>0</v>
      </c>
      <c r="F300" s="8">
        <v>10</v>
      </c>
      <c r="G300" s="8">
        <v>-10</v>
      </c>
      <c r="H300" s="13">
        <f>SUM(Tabla13[[#This Row],[Balance corte Digecog]:[SALIDA]])</f>
        <v>0</v>
      </c>
      <c r="I300" s="14">
        <v>7670</v>
      </c>
      <c r="J300" s="15"/>
      <c r="K300" s="7">
        <v>45198</v>
      </c>
    </row>
    <row r="301" spans="1:11" x14ac:dyDescent="0.3">
      <c r="A301" s="10" t="s">
        <v>13</v>
      </c>
      <c r="B301" s="21" t="s">
        <v>309</v>
      </c>
      <c r="C301" s="8" t="s">
        <v>10</v>
      </c>
      <c r="D301" s="8"/>
      <c r="E301" s="8">
        <v>0</v>
      </c>
      <c r="F301" s="8">
        <v>2</v>
      </c>
      <c r="G301" s="8">
        <v>-2</v>
      </c>
      <c r="H301" s="8">
        <f>SUM(Tabla13[[#This Row],[Balance corte Digecog]:[SALIDA]])</f>
        <v>0</v>
      </c>
      <c r="I301" s="15">
        <v>3290</v>
      </c>
      <c r="J301" s="14">
        <f t="shared" ref="J301:J305" si="6">+H301*I301</f>
        <v>0</v>
      </c>
      <c r="K301" s="7">
        <v>45198</v>
      </c>
    </row>
    <row r="302" spans="1:11" ht="25.8" customHeight="1" x14ac:dyDescent="0.3">
      <c r="A302" s="10" t="s">
        <v>13</v>
      </c>
      <c r="B302" s="21" t="s">
        <v>310</v>
      </c>
      <c r="C302" s="8" t="s">
        <v>10</v>
      </c>
      <c r="D302" s="12">
        <v>45103</v>
      </c>
      <c r="E302" s="8">
        <v>0</v>
      </c>
      <c r="F302" s="8">
        <v>10</v>
      </c>
      <c r="G302" s="8">
        <v>-10</v>
      </c>
      <c r="H302" s="8">
        <f>SUM(Tabla13[[#This Row],[Balance corte Digecog]:[SALIDA]])</f>
        <v>0</v>
      </c>
      <c r="I302" s="15">
        <v>650</v>
      </c>
      <c r="J302" s="14">
        <f>+H302*I302</f>
        <v>0</v>
      </c>
      <c r="K302" s="7">
        <v>45198</v>
      </c>
    </row>
    <row r="303" spans="1:11" ht="29.4" customHeight="1" x14ac:dyDescent="0.3">
      <c r="A303" s="10" t="s">
        <v>13</v>
      </c>
      <c r="B303" s="21" t="s">
        <v>311</v>
      </c>
      <c r="C303" s="8" t="s">
        <v>10</v>
      </c>
      <c r="D303" s="12">
        <v>45181</v>
      </c>
      <c r="E303" s="8">
        <v>0</v>
      </c>
      <c r="F303" s="8">
        <v>1</v>
      </c>
      <c r="G303" s="8">
        <v>-1</v>
      </c>
      <c r="H303" s="8">
        <f>SUM(Tabla13[[#This Row],[Balance corte Digecog]:[SALIDA]])</f>
        <v>0</v>
      </c>
      <c r="I303" s="15">
        <v>45762.71</v>
      </c>
      <c r="J303" s="14">
        <f>+H303*I303</f>
        <v>0</v>
      </c>
      <c r="K303" s="7">
        <v>45198</v>
      </c>
    </row>
    <row r="304" spans="1:11" ht="30.6" customHeight="1" x14ac:dyDescent="0.3">
      <c r="A304" s="8" t="s">
        <v>64</v>
      </c>
      <c r="B304" s="11" t="s">
        <v>312</v>
      </c>
      <c r="C304" s="8" t="s">
        <v>115</v>
      </c>
      <c r="D304" s="12">
        <v>45177</v>
      </c>
      <c r="E304" s="8">
        <v>0</v>
      </c>
      <c r="F304" s="8">
        <v>100</v>
      </c>
      <c r="G304" s="8">
        <v>-1</v>
      </c>
      <c r="H304" s="13">
        <f>SUM(Tabla13[[#This Row],[Balance corte Digecog]:[SALIDA]])</f>
        <v>99</v>
      </c>
      <c r="I304" s="14">
        <v>18</v>
      </c>
      <c r="J304" s="15">
        <f>+H304*I304</f>
        <v>1782</v>
      </c>
      <c r="K304" s="7">
        <v>45198</v>
      </c>
    </row>
    <row r="305" spans="1:11" x14ac:dyDescent="0.3">
      <c r="A305" s="1" t="s">
        <v>64</v>
      </c>
      <c r="B305" s="11" t="s">
        <v>313</v>
      </c>
      <c r="C305" s="8" t="s">
        <v>10</v>
      </c>
      <c r="D305" s="8"/>
      <c r="E305" s="8">
        <v>4</v>
      </c>
      <c r="F305" s="8">
        <v>0</v>
      </c>
      <c r="G305" s="8">
        <v>-4</v>
      </c>
      <c r="H305" s="13">
        <f>SUM(Tabla13[[#This Row],[Balance corte Digecog]:[SALIDA]])</f>
        <v>0</v>
      </c>
      <c r="I305" s="14">
        <v>830</v>
      </c>
      <c r="J305" s="15">
        <f t="shared" si="6"/>
        <v>0</v>
      </c>
      <c r="K305" s="7">
        <v>45198</v>
      </c>
    </row>
    <row r="306" spans="1:11" x14ac:dyDescent="0.3">
      <c r="A306" s="1" t="s">
        <v>64</v>
      </c>
      <c r="B306" s="11" t="s">
        <v>314</v>
      </c>
      <c r="C306" s="8" t="s">
        <v>10</v>
      </c>
      <c r="D306" s="8"/>
      <c r="E306" s="8">
        <v>7</v>
      </c>
      <c r="F306" s="8">
        <v>1</v>
      </c>
      <c r="G306" s="8">
        <v>0</v>
      </c>
      <c r="H306" s="13">
        <f>SUM(Tabla13[[#This Row],[Balance corte Digecog]:[SALIDA]])</f>
        <v>8</v>
      </c>
      <c r="I306" s="14">
        <v>25</v>
      </c>
      <c r="J306" s="15">
        <f>7*25</f>
        <v>175</v>
      </c>
      <c r="K306" s="7">
        <v>45198</v>
      </c>
    </row>
    <row r="307" spans="1:11" x14ac:dyDescent="0.3">
      <c r="A307" s="1" t="s">
        <v>398</v>
      </c>
      <c r="B307" s="11" t="s">
        <v>315</v>
      </c>
      <c r="C307" s="8" t="s">
        <v>22</v>
      </c>
      <c r="D307" s="12">
        <v>45184</v>
      </c>
      <c r="E307" s="8">
        <v>0</v>
      </c>
      <c r="F307" s="8">
        <v>10</v>
      </c>
      <c r="G307" s="8">
        <v>-10</v>
      </c>
      <c r="H307" s="13">
        <f>SUM(Tabla13[[#This Row],[Balance corte Digecog]:[SALIDA]])</f>
        <v>0</v>
      </c>
      <c r="I307" s="14">
        <v>590</v>
      </c>
      <c r="J307" s="15">
        <f>+H307*I307</f>
        <v>0</v>
      </c>
      <c r="K307" s="7">
        <v>45198</v>
      </c>
    </row>
    <row r="308" spans="1:11" x14ac:dyDescent="0.3">
      <c r="A308" s="1" t="s">
        <v>29</v>
      </c>
      <c r="B308" s="11" t="s">
        <v>316</v>
      </c>
      <c r="C308" s="8" t="s">
        <v>12</v>
      </c>
      <c r="D308" s="12">
        <v>45127</v>
      </c>
      <c r="E308" s="8">
        <v>0</v>
      </c>
      <c r="F308" s="8">
        <v>150</v>
      </c>
      <c r="G308" s="8">
        <v>0</v>
      </c>
      <c r="H308" s="13">
        <f>SUM(Tabla13[[#This Row],[Balance corte Digecog]:[SALIDA]])</f>
        <v>150</v>
      </c>
      <c r="I308" s="14">
        <v>30</v>
      </c>
      <c r="J308" s="15">
        <f>+H308*I308</f>
        <v>4500</v>
      </c>
      <c r="K308" s="7">
        <v>45198</v>
      </c>
    </row>
    <row r="309" spans="1:11" ht="30" customHeight="1" x14ac:dyDescent="0.3">
      <c r="A309" s="1" t="s">
        <v>29</v>
      </c>
      <c r="B309" s="11" t="s">
        <v>317</v>
      </c>
      <c r="C309" s="8" t="s">
        <v>10</v>
      </c>
      <c r="D309" s="12">
        <v>45118</v>
      </c>
      <c r="E309" s="8">
        <v>29</v>
      </c>
      <c r="F309" s="8">
        <v>30</v>
      </c>
      <c r="G309" s="8">
        <v>-15</v>
      </c>
      <c r="H309" s="13">
        <f>SUM(Tabla13[[#This Row],[Balance corte Digecog]:[SALIDA]])</f>
        <v>44</v>
      </c>
      <c r="I309" s="14">
        <v>66.27</v>
      </c>
      <c r="J309" s="15">
        <f>Tabla13[[#This Row],[PRECIO UNIT. ]]*Tabla13[[#This Row],[EXISTENCIA]]</f>
        <v>2915.8799999999997</v>
      </c>
      <c r="K309" s="7">
        <v>45198</v>
      </c>
    </row>
    <row r="310" spans="1:11" ht="27" customHeight="1" x14ac:dyDescent="0.3">
      <c r="A310" s="1" t="s">
        <v>29</v>
      </c>
      <c r="B310" s="11" t="s">
        <v>318</v>
      </c>
      <c r="C310" s="8" t="s">
        <v>10</v>
      </c>
      <c r="D310" s="8"/>
      <c r="E310" s="8">
        <v>10</v>
      </c>
      <c r="F310" s="8">
        <v>0</v>
      </c>
      <c r="G310" s="8">
        <v>-1</v>
      </c>
      <c r="H310" s="13">
        <f>SUM(Tabla13[[#This Row],[Balance corte Digecog]:[SALIDA]])</f>
        <v>9</v>
      </c>
      <c r="I310" s="14">
        <v>19.149999999999999</v>
      </c>
      <c r="J310" s="15">
        <f>10*19.15</f>
        <v>191.5</v>
      </c>
      <c r="K310" s="7">
        <v>45198</v>
      </c>
    </row>
    <row r="311" spans="1:11" ht="27" customHeight="1" x14ac:dyDescent="0.3">
      <c r="A311" s="1" t="s">
        <v>29</v>
      </c>
      <c r="B311" s="11" t="s">
        <v>319</v>
      </c>
      <c r="C311" s="8" t="s">
        <v>10</v>
      </c>
      <c r="D311" s="8"/>
      <c r="E311" s="8">
        <v>13</v>
      </c>
      <c r="F311" s="8">
        <v>0</v>
      </c>
      <c r="G311" s="8">
        <v>0</v>
      </c>
      <c r="H311" s="13">
        <f>SUM(Tabla13[[#This Row],[Balance corte Digecog]:[SALIDA]])</f>
        <v>13</v>
      </c>
      <c r="I311" s="14">
        <v>19.149999999999999</v>
      </c>
      <c r="J311" s="15">
        <f>13*19.15</f>
        <v>248.95</v>
      </c>
      <c r="K311" s="7">
        <v>45198</v>
      </c>
    </row>
    <row r="312" spans="1:11" x14ac:dyDescent="0.3">
      <c r="A312" s="1" t="s">
        <v>29</v>
      </c>
      <c r="B312" s="11" t="s">
        <v>320</v>
      </c>
      <c r="C312" s="8" t="s">
        <v>10</v>
      </c>
      <c r="D312" s="8"/>
      <c r="E312" s="8">
        <v>7</v>
      </c>
      <c r="F312" s="8">
        <v>3</v>
      </c>
      <c r="G312" s="8">
        <v>0</v>
      </c>
      <c r="H312" s="13">
        <f>SUM(Tabla13[[#This Row],[Balance corte Digecog]:[SALIDA]])</f>
        <v>10</v>
      </c>
      <c r="I312" s="14">
        <v>19.149999999999999</v>
      </c>
      <c r="J312" s="15">
        <f>7*19.15</f>
        <v>134.04999999999998</v>
      </c>
      <c r="K312" s="7">
        <v>45198</v>
      </c>
    </row>
    <row r="313" spans="1:11" x14ac:dyDescent="0.3">
      <c r="A313" s="1" t="s">
        <v>29</v>
      </c>
      <c r="B313" s="11" t="s">
        <v>321</v>
      </c>
      <c r="C313" s="8" t="s">
        <v>10</v>
      </c>
      <c r="D313" s="8"/>
      <c r="E313" s="8">
        <v>14</v>
      </c>
      <c r="F313" s="8">
        <v>0</v>
      </c>
      <c r="G313" s="8">
        <v>0</v>
      </c>
      <c r="H313" s="13">
        <f>SUM(Tabla13[[#This Row],[Balance corte Digecog]:[SALIDA]])</f>
        <v>14</v>
      </c>
      <c r="I313" s="14">
        <v>19.149999999999999</v>
      </c>
      <c r="J313" s="15">
        <f>14*19.15</f>
        <v>268.09999999999997</v>
      </c>
      <c r="K313" s="7">
        <v>45198</v>
      </c>
    </row>
    <row r="314" spans="1:11" x14ac:dyDescent="0.3">
      <c r="A314" s="1" t="s">
        <v>132</v>
      </c>
      <c r="B314" s="11" t="s">
        <v>322</v>
      </c>
      <c r="C314" s="8" t="s">
        <v>10</v>
      </c>
      <c r="D314" s="12">
        <v>45184</v>
      </c>
      <c r="E314" s="8">
        <v>0</v>
      </c>
      <c r="F314" s="8">
        <v>90</v>
      </c>
      <c r="G314" s="8">
        <v>0</v>
      </c>
      <c r="H314" s="13">
        <f>SUM(Tabla13[[#This Row],[Balance corte Digecog]:[SALIDA]])</f>
        <v>90</v>
      </c>
      <c r="I314" s="14">
        <v>31.67</v>
      </c>
      <c r="J314" s="15">
        <f>+H314*I314</f>
        <v>2850.3</v>
      </c>
      <c r="K314" s="7">
        <v>45198</v>
      </c>
    </row>
    <row r="315" spans="1:11" x14ac:dyDescent="0.3">
      <c r="A315" s="1" t="s">
        <v>132</v>
      </c>
      <c r="B315" s="11" t="s">
        <v>323</v>
      </c>
      <c r="C315" s="8" t="s">
        <v>10</v>
      </c>
      <c r="D315" s="8"/>
      <c r="E315" s="8">
        <v>29</v>
      </c>
      <c r="F315" s="8">
        <v>0</v>
      </c>
      <c r="G315" s="8">
        <v>-12</v>
      </c>
      <c r="H315" s="13">
        <f>SUM(Tabla13[[#This Row],[Balance corte Digecog]:[SALIDA]])</f>
        <v>17</v>
      </c>
      <c r="I315" s="14">
        <v>41.84</v>
      </c>
      <c r="J315" s="15">
        <f>29*41.84</f>
        <v>1213.3600000000001</v>
      </c>
      <c r="K315" s="7">
        <v>45198</v>
      </c>
    </row>
    <row r="316" spans="1:11" ht="30.6" customHeight="1" x14ac:dyDescent="0.3">
      <c r="A316" s="1" t="s">
        <v>13</v>
      </c>
      <c r="B316" s="11" t="s">
        <v>324</v>
      </c>
      <c r="C316" s="8" t="s">
        <v>10</v>
      </c>
      <c r="D316" s="8"/>
      <c r="E316" s="8">
        <v>2</v>
      </c>
      <c r="F316" s="8">
        <v>0</v>
      </c>
      <c r="G316" s="8">
        <v>-2</v>
      </c>
      <c r="H316" s="13">
        <f>SUM(Tabla13[[#This Row],[Balance corte Digecog]:[SALIDA]])</f>
        <v>0</v>
      </c>
      <c r="I316" s="14">
        <v>99.25</v>
      </c>
      <c r="J316" s="15">
        <f>2*99.25</f>
        <v>198.5</v>
      </c>
      <c r="K316" s="7">
        <v>45198</v>
      </c>
    </row>
    <row r="317" spans="1:11" ht="32.4" customHeight="1" x14ac:dyDescent="0.3">
      <c r="A317" s="1" t="s">
        <v>29</v>
      </c>
      <c r="B317" s="11" t="s">
        <v>325</v>
      </c>
      <c r="C317" s="8" t="s">
        <v>10</v>
      </c>
      <c r="D317" s="8"/>
      <c r="E317" s="8">
        <v>2</v>
      </c>
      <c r="F317" s="8">
        <v>0</v>
      </c>
      <c r="G317" s="8">
        <v>-1</v>
      </c>
      <c r="H317" s="13">
        <f>SUM(Tabla13[[#This Row],[Balance corte Digecog]:[SALIDA]])</f>
        <v>1</v>
      </c>
      <c r="I317" s="14">
        <v>1968</v>
      </c>
      <c r="J317" s="15">
        <f>2*1968</f>
        <v>3936</v>
      </c>
      <c r="K317" s="7">
        <v>45198</v>
      </c>
    </row>
    <row r="318" spans="1:11" x14ac:dyDescent="0.3">
      <c r="A318" s="1" t="s">
        <v>29</v>
      </c>
      <c r="B318" s="11" t="s">
        <v>326</v>
      </c>
      <c r="C318" s="8" t="s">
        <v>10</v>
      </c>
      <c r="D318" s="8"/>
      <c r="E318" s="8">
        <v>3</v>
      </c>
      <c r="F318" s="8">
        <v>0</v>
      </c>
      <c r="G318" s="8">
        <v>0</v>
      </c>
      <c r="H318" s="13">
        <f>SUM(Tabla13[[#This Row],[Balance corte Digecog]:[SALIDA]])</f>
        <v>3</v>
      </c>
      <c r="I318" s="14">
        <v>1968</v>
      </c>
      <c r="J318" s="15">
        <f>3*1968</f>
        <v>5904</v>
      </c>
      <c r="K318" s="7">
        <v>45198</v>
      </c>
    </row>
    <row r="319" spans="1:11" x14ac:dyDescent="0.3">
      <c r="A319" s="1" t="s">
        <v>29</v>
      </c>
      <c r="B319" s="11" t="s">
        <v>327</v>
      </c>
      <c r="C319" s="8" t="s">
        <v>10</v>
      </c>
      <c r="D319" s="12">
        <v>45113</v>
      </c>
      <c r="E319" s="8">
        <v>0</v>
      </c>
      <c r="F319" s="8">
        <v>2</v>
      </c>
      <c r="G319" s="8">
        <v>0</v>
      </c>
      <c r="H319" s="13">
        <f>SUM(Tabla13[[#This Row],[Balance corte Digecog]:[SALIDA]])</f>
        <v>2</v>
      </c>
      <c r="I319" s="14">
        <v>5623.73</v>
      </c>
      <c r="J319" s="15">
        <f>+H319*I319</f>
        <v>11247.46</v>
      </c>
      <c r="K319" s="7">
        <v>45198</v>
      </c>
    </row>
    <row r="320" spans="1:11" x14ac:dyDescent="0.3">
      <c r="A320" s="1" t="s">
        <v>29</v>
      </c>
      <c r="B320" s="11" t="s">
        <v>328</v>
      </c>
      <c r="C320" s="8" t="s">
        <v>10</v>
      </c>
      <c r="D320" s="12">
        <v>45113</v>
      </c>
      <c r="E320" s="8">
        <v>0</v>
      </c>
      <c r="F320" s="8">
        <v>2</v>
      </c>
      <c r="G320" s="8">
        <v>-2</v>
      </c>
      <c r="H320" s="13">
        <f>SUM(Tabla13[[#This Row],[Balance corte Digecog]:[SALIDA]])</f>
        <v>0</v>
      </c>
      <c r="I320" s="14">
        <v>5087.6899999999996</v>
      </c>
      <c r="J320" s="15">
        <f>+H320*I320</f>
        <v>0</v>
      </c>
      <c r="K320" s="7">
        <v>45198</v>
      </c>
    </row>
    <row r="321" spans="1:11" x14ac:dyDescent="0.3">
      <c r="A321" s="1" t="s">
        <v>29</v>
      </c>
      <c r="B321" s="11" t="s">
        <v>329</v>
      </c>
      <c r="C321" s="8" t="s">
        <v>10</v>
      </c>
      <c r="D321" s="8"/>
      <c r="E321" s="8">
        <v>7</v>
      </c>
      <c r="F321" s="8">
        <v>0</v>
      </c>
      <c r="G321" s="8">
        <v>-1</v>
      </c>
      <c r="H321" s="13">
        <f>SUM(Tabla13[[#This Row],[Balance corte Digecog]:[SALIDA]])</f>
        <v>6</v>
      </c>
      <c r="I321" s="14">
        <v>3308</v>
      </c>
      <c r="J321" s="15">
        <f>7*3308</f>
        <v>23156</v>
      </c>
      <c r="K321" s="7">
        <v>45198</v>
      </c>
    </row>
    <row r="322" spans="1:11" x14ac:dyDescent="0.3">
      <c r="A322" s="1" t="s">
        <v>29</v>
      </c>
      <c r="B322" s="11" t="s">
        <v>397</v>
      </c>
      <c r="C322" s="8" t="s">
        <v>10</v>
      </c>
      <c r="D322" s="8"/>
      <c r="E322" s="8">
        <v>5</v>
      </c>
      <c r="F322" s="8">
        <v>0</v>
      </c>
      <c r="G322" s="8">
        <v>-2</v>
      </c>
      <c r="H322" s="13">
        <f>SUM(Tabla13[[#This Row],[Balance corte Digecog]:[SALIDA]])</f>
        <v>3</v>
      </c>
      <c r="I322" s="14">
        <v>3972.03</v>
      </c>
      <c r="J322" s="15">
        <f>5*3972.03</f>
        <v>19860.150000000001</v>
      </c>
      <c r="K322" s="7">
        <v>45198</v>
      </c>
    </row>
    <row r="323" spans="1:11" x14ac:dyDescent="0.3">
      <c r="A323" s="1" t="s">
        <v>29</v>
      </c>
      <c r="B323" s="11" t="s">
        <v>330</v>
      </c>
      <c r="C323" s="8" t="s">
        <v>10</v>
      </c>
      <c r="D323" s="8"/>
      <c r="E323" s="8">
        <v>2</v>
      </c>
      <c r="F323" s="8">
        <v>5</v>
      </c>
      <c r="G323" s="8">
        <v>0</v>
      </c>
      <c r="H323" s="13">
        <f>SUM(Tabla13[[#This Row],[Balance corte Digecog]:[SALIDA]])</f>
        <v>7</v>
      </c>
      <c r="I323" s="14">
        <v>489.83</v>
      </c>
      <c r="J323" s="15">
        <f>2*489.83</f>
        <v>979.66</v>
      </c>
      <c r="K323" s="7">
        <v>45198</v>
      </c>
    </row>
    <row r="324" spans="1:11" x14ac:dyDescent="0.3">
      <c r="A324" s="1" t="s">
        <v>29</v>
      </c>
      <c r="B324" s="11" t="s">
        <v>331</v>
      </c>
      <c r="C324" s="8" t="s">
        <v>10</v>
      </c>
      <c r="D324" s="8"/>
      <c r="E324" s="8">
        <v>2</v>
      </c>
      <c r="F324" s="8">
        <v>5</v>
      </c>
      <c r="G324" s="8">
        <v>0</v>
      </c>
      <c r="H324" s="13">
        <f>SUM(Tabla13[[#This Row],[Balance corte Digecog]:[SALIDA]])</f>
        <v>7</v>
      </c>
      <c r="I324" s="14">
        <v>489.83</v>
      </c>
      <c r="J324" s="15">
        <f>+H324*I324</f>
        <v>3428.81</v>
      </c>
      <c r="K324" s="7">
        <v>45198</v>
      </c>
    </row>
    <row r="325" spans="1:11" x14ac:dyDescent="0.3">
      <c r="A325" s="1" t="s">
        <v>29</v>
      </c>
      <c r="B325" s="11" t="s">
        <v>332</v>
      </c>
      <c r="C325" s="8" t="s">
        <v>10</v>
      </c>
      <c r="D325" s="8"/>
      <c r="E325" s="1">
        <v>8</v>
      </c>
      <c r="F325" s="8">
        <v>0</v>
      </c>
      <c r="G325" s="8">
        <v>-1</v>
      </c>
      <c r="H325" s="13">
        <f>SUM(Tabla13[[#This Row],[Balance corte Digecog]:[SALIDA]])</f>
        <v>7</v>
      </c>
      <c r="I325" s="14">
        <v>616.99</v>
      </c>
      <c r="J325" s="15">
        <f>8*616.99</f>
        <v>4935.92</v>
      </c>
      <c r="K325" s="7">
        <v>45198</v>
      </c>
    </row>
    <row r="326" spans="1:11" x14ac:dyDescent="0.3">
      <c r="A326" s="1" t="s">
        <v>29</v>
      </c>
      <c r="B326" s="11" t="s">
        <v>333</v>
      </c>
      <c r="C326" s="8" t="s">
        <v>10</v>
      </c>
      <c r="D326" s="8"/>
      <c r="E326" s="8">
        <v>1</v>
      </c>
      <c r="F326" s="8">
        <v>4</v>
      </c>
      <c r="G326" s="8">
        <v>0</v>
      </c>
      <c r="H326" s="13">
        <f>SUM(Tabla13[[#This Row],[Balance corte Digecog]:[SALIDA]])</f>
        <v>5</v>
      </c>
      <c r="I326" s="14">
        <v>489.83</v>
      </c>
      <c r="J326" s="15">
        <f>+H326*I326</f>
        <v>2449.15</v>
      </c>
      <c r="K326" s="7">
        <v>45198</v>
      </c>
    </row>
    <row r="327" spans="1:11" x14ac:dyDescent="0.3">
      <c r="A327" s="1" t="s">
        <v>29</v>
      </c>
      <c r="B327" s="11" t="s">
        <v>334</v>
      </c>
      <c r="C327" s="8" t="s">
        <v>10</v>
      </c>
      <c r="D327" s="8"/>
      <c r="E327" s="8">
        <v>9</v>
      </c>
      <c r="F327" s="8">
        <v>0</v>
      </c>
      <c r="G327" s="8">
        <v>-1</v>
      </c>
      <c r="H327" s="13">
        <f>SUM(Tabla13[[#This Row],[Balance corte Digecog]:[SALIDA]])</f>
        <v>8</v>
      </c>
      <c r="I327" s="14">
        <v>489.83</v>
      </c>
      <c r="J327" s="15">
        <f>9*489.83</f>
        <v>4408.47</v>
      </c>
      <c r="K327" s="7">
        <v>45198</v>
      </c>
    </row>
    <row r="328" spans="1:11" x14ac:dyDescent="0.3">
      <c r="A328" s="1" t="s">
        <v>29</v>
      </c>
      <c r="B328" s="11" t="s">
        <v>335</v>
      </c>
      <c r="C328" s="8" t="s">
        <v>10</v>
      </c>
      <c r="D328" s="8"/>
      <c r="E328" s="8">
        <v>18</v>
      </c>
      <c r="F328" s="8">
        <v>9</v>
      </c>
      <c r="G328" s="8">
        <v>0</v>
      </c>
      <c r="H328" s="13">
        <f>SUM(Tabla13[[#This Row],[Balance corte Digecog]:[SALIDA]])</f>
        <v>27</v>
      </c>
      <c r="I328" s="14">
        <v>489.83</v>
      </c>
      <c r="J328" s="15">
        <f>18*489.83</f>
        <v>8816.94</v>
      </c>
      <c r="K328" s="7">
        <v>45198</v>
      </c>
    </row>
    <row r="329" spans="1:11" x14ac:dyDescent="0.3">
      <c r="A329" s="1" t="s">
        <v>29</v>
      </c>
      <c r="B329" s="11" t="s">
        <v>336</v>
      </c>
      <c r="C329" s="8" t="s">
        <v>10</v>
      </c>
      <c r="D329" s="8"/>
      <c r="E329" s="8">
        <v>22</v>
      </c>
      <c r="F329" s="8">
        <v>9</v>
      </c>
      <c r="G329" s="8">
        <v>0</v>
      </c>
      <c r="H329" s="13">
        <f>SUM(Tabla13[[#This Row],[Balance corte Digecog]:[SALIDA]])</f>
        <v>31</v>
      </c>
      <c r="I329" s="14">
        <v>489.83</v>
      </c>
      <c r="J329" s="15">
        <f>22*489.83</f>
        <v>10776.26</v>
      </c>
      <c r="K329" s="7">
        <v>45198</v>
      </c>
    </row>
    <row r="330" spans="1:11" x14ac:dyDescent="0.3">
      <c r="A330" s="1" t="s">
        <v>29</v>
      </c>
      <c r="B330" s="11" t="s">
        <v>337</v>
      </c>
      <c r="C330" s="8" t="s">
        <v>10</v>
      </c>
      <c r="D330" s="8"/>
      <c r="E330" s="8">
        <v>23</v>
      </c>
      <c r="F330" s="8">
        <v>9</v>
      </c>
      <c r="G330" s="8">
        <v>0</v>
      </c>
      <c r="H330" s="13">
        <f>SUM(Tabla13[[#This Row],[Balance corte Digecog]:[SALIDA]])</f>
        <v>32</v>
      </c>
      <c r="I330" s="14">
        <v>489.83</v>
      </c>
      <c r="J330" s="15">
        <f>23*489.83</f>
        <v>11266.09</v>
      </c>
      <c r="K330" s="7">
        <v>45198</v>
      </c>
    </row>
    <row r="331" spans="1:11" x14ac:dyDescent="0.3">
      <c r="A331" s="1" t="s">
        <v>29</v>
      </c>
      <c r="B331" s="11" t="s">
        <v>338</v>
      </c>
      <c r="C331" s="8" t="s">
        <v>10</v>
      </c>
      <c r="D331" s="8"/>
      <c r="E331" s="8">
        <v>4</v>
      </c>
      <c r="F331" s="8">
        <v>0</v>
      </c>
      <c r="G331" s="8">
        <v>0</v>
      </c>
      <c r="H331" s="13">
        <f>SUM(Tabla13[[#This Row],[Balance corte Digecog]:[SALIDA]])</f>
        <v>4</v>
      </c>
      <c r="I331" s="14">
        <v>2938</v>
      </c>
      <c r="J331" s="15">
        <f>4*2938</f>
        <v>11752</v>
      </c>
      <c r="K331" s="7">
        <v>45198</v>
      </c>
    </row>
    <row r="332" spans="1:11" ht="28.2" customHeight="1" x14ac:dyDescent="0.3">
      <c r="A332" s="1" t="s">
        <v>29</v>
      </c>
      <c r="B332" s="11" t="s">
        <v>339</v>
      </c>
      <c r="C332" s="8" t="s">
        <v>10</v>
      </c>
      <c r="D332" s="8"/>
      <c r="E332" s="8">
        <v>3</v>
      </c>
      <c r="F332" s="8">
        <v>0</v>
      </c>
      <c r="G332" s="8">
        <v>0</v>
      </c>
      <c r="H332" s="13">
        <f>SUM(Tabla13[[#This Row],[Balance corte Digecog]:[SALIDA]])</f>
        <v>3</v>
      </c>
      <c r="I332" s="14">
        <v>2655.64</v>
      </c>
      <c r="J332" s="15">
        <f>3*2655.64</f>
        <v>7966.92</v>
      </c>
      <c r="K332" s="7">
        <v>45198</v>
      </c>
    </row>
    <row r="333" spans="1:11" ht="30" customHeight="1" x14ac:dyDescent="0.3">
      <c r="A333" s="1" t="s">
        <v>29</v>
      </c>
      <c r="B333" s="11" t="s">
        <v>340</v>
      </c>
      <c r="C333" s="8" t="s">
        <v>10</v>
      </c>
      <c r="D333" s="8"/>
      <c r="E333" s="8">
        <v>1</v>
      </c>
      <c r="F333" s="8">
        <v>0</v>
      </c>
      <c r="G333" s="8">
        <v>0</v>
      </c>
      <c r="H333" s="13">
        <f>SUM(Tabla13[[#This Row],[Balance corte Digecog]:[SALIDA]])</f>
        <v>1</v>
      </c>
      <c r="I333" s="14">
        <v>2655.64</v>
      </c>
      <c r="J333" s="15">
        <f>+H333*I333</f>
        <v>2655.64</v>
      </c>
      <c r="K333" s="7">
        <v>45198</v>
      </c>
    </row>
    <row r="334" spans="1:11" ht="33.6" customHeight="1" x14ac:dyDescent="0.3">
      <c r="A334" s="1" t="s">
        <v>29</v>
      </c>
      <c r="B334" s="11" t="s">
        <v>341</v>
      </c>
      <c r="C334" s="8" t="s">
        <v>10</v>
      </c>
      <c r="D334" s="8"/>
      <c r="E334" s="8">
        <v>7</v>
      </c>
      <c r="F334" s="8">
        <v>0</v>
      </c>
      <c r="G334" s="8">
        <v>0</v>
      </c>
      <c r="H334" s="13">
        <f>SUM(Tabla13[[#This Row],[Balance corte Digecog]:[SALIDA]])</f>
        <v>7</v>
      </c>
      <c r="I334" s="14">
        <v>2655.64</v>
      </c>
      <c r="J334" s="15">
        <f>7*2655.64</f>
        <v>18589.48</v>
      </c>
      <c r="K334" s="7">
        <v>45198</v>
      </c>
    </row>
    <row r="335" spans="1:11" x14ac:dyDescent="0.3">
      <c r="A335" s="1" t="s">
        <v>29</v>
      </c>
      <c r="B335" s="11" t="s">
        <v>342</v>
      </c>
      <c r="C335" s="8" t="s">
        <v>10</v>
      </c>
      <c r="D335" s="8"/>
      <c r="E335" s="8">
        <v>5</v>
      </c>
      <c r="F335" s="8">
        <v>0</v>
      </c>
      <c r="G335" s="8">
        <v>-5</v>
      </c>
      <c r="H335" s="13">
        <f>SUM(Tabla13[[#This Row],[Balance corte Digecog]:[SALIDA]])</f>
        <v>0</v>
      </c>
      <c r="I335" s="14">
        <v>3527.12</v>
      </c>
      <c r="J335" s="15">
        <f>5*3527.12</f>
        <v>17635.599999999999</v>
      </c>
      <c r="K335" s="7">
        <v>45198</v>
      </c>
    </row>
    <row r="336" spans="1:11" ht="30.6" customHeight="1" x14ac:dyDescent="0.3">
      <c r="A336" s="1" t="s">
        <v>29</v>
      </c>
      <c r="B336" s="11" t="s">
        <v>343</v>
      </c>
      <c r="C336" s="8" t="s">
        <v>10</v>
      </c>
      <c r="D336" s="12">
        <v>45113</v>
      </c>
      <c r="E336" s="8">
        <v>0</v>
      </c>
      <c r="F336" s="8">
        <v>20</v>
      </c>
      <c r="G336" s="8">
        <v>-13</v>
      </c>
      <c r="H336" s="13">
        <f>SUM(Tabla13[[#This Row],[Balance corte Digecog]:[SALIDA]])</f>
        <v>7</v>
      </c>
      <c r="I336" s="14">
        <v>3671.01</v>
      </c>
      <c r="J336" s="15">
        <f t="shared" ref="J336:J343" si="7">+H336*I336</f>
        <v>25697.07</v>
      </c>
      <c r="K336" s="7">
        <v>45198</v>
      </c>
    </row>
    <row r="337" spans="1:11" x14ac:dyDescent="0.3">
      <c r="A337" s="1" t="s">
        <v>29</v>
      </c>
      <c r="B337" s="11" t="s">
        <v>344</v>
      </c>
      <c r="C337" s="8" t="s">
        <v>10</v>
      </c>
      <c r="D337" s="12">
        <v>45113</v>
      </c>
      <c r="E337" s="8">
        <v>0</v>
      </c>
      <c r="F337" s="8">
        <v>3</v>
      </c>
      <c r="G337" s="8">
        <v>0</v>
      </c>
      <c r="H337" s="13">
        <f>SUM(Tabla13[[#This Row],[Balance corte Digecog]:[SALIDA]])</f>
        <v>3</v>
      </c>
      <c r="I337" s="14">
        <v>4053.37</v>
      </c>
      <c r="J337" s="15">
        <f t="shared" si="7"/>
        <v>12160.11</v>
      </c>
      <c r="K337" s="7">
        <v>45198</v>
      </c>
    </row>
    <row r="338" spans="1:11" x14ac:dyDescent="0.3">
      <c r="A338" s="1" t="s">
        <v>29</v>
      </c>
      <c r="B338" s="11" t="s">
        <v>345</v>
      </c>
      <c r="C338" s="8" t="s">
        <v>10</v>
      </c>
      <c r="D338" s="8"/>
      <c r="E338" s="8">
        <v>1</v>
      </c>
      <c r="F338" s="8">
        <v>0</v>
      </c>
      <c r="G338" s="8">
        <v>-1</v>
      </c>
      <c r="H338" s="13">
        <f>SUM(Tabla13[[#This Row],[Balance corte Digecog]:[SALIDA]])</f>
        <v>0</v>
      </c>
      <c r="I338" s="14">
        <v>4594.07</v>
      </c>
      <c r="J338" s="15">
        <f t="shared" si="7"/>
        <v>0</v>
      </c>
      <c r="K338" s="7">
        <v>45198</v>
      </c>
    </row>
    <row r="339" spans="1:11" x14ac:dyDescent="0.3">
      <c r="A339" s="1" t="s">
        <v>29</v>
      </c>
      <c r="B339" s="11" t="s">
        <v>346</v>
      </c>
      <c r="C339" s="8" t="s">
        <v>10</v>
      </c>
      <c r="D339" s="12">
        <v>45113</v>
      </c>
      <c r="E339" s="8">
        <v>0</v>
      </c>
      <c r="F339" s="8">
        <v>2</v>
      </c>
      <c r="G339" s="8">
        <v>-1</v>
      </c>
      <c r="H339" s="13">
        <f>SUM(Tabla13[[#This Row],[Balance corte Digecog]:[SALIDA]])</f>
        <v>1</v>
      </c>
      <c r="I339" s="14">
        <v>4781.76</v>
      </c>
      <c r="J339" s="15">
        <f t="shared" si="7"/>
        <v>4781.76</v>
      </c>
      <c r="K339" s="7">
        <v>45198</v>
      </c>
    </row>
    <row r="340" spans="1:11" x14ac:dyDescent="0.3">
      <c r="A340" s="1" t="s">
        <v>29</v>
      </c>
      <c r="B340" s="11" t="s">
        <v>347</v>
      </c>
      <c r="C340" s="8" t="s">
        <v>10</v>
      </c>
      <c r="D340" s="8"/>
      <c r="E340" s="8">
        <v>1</v>
      </c>
      <c r="F340" s="8">
        <v>0</v>
      </c>
      <c r="G340" s="8">
        <v>0</v>
      </c>
      <c r="H340" s="13">
        <f>SUM(Tabla13[[#This Row],[Balance corte Digecog]:[SALIDA]])</f>
        <v>1</v>
      </c>
      <c r="I340" s="14">
        <v>4594.07</v>
      </c>
      <c r="J340" s="15">
        <f t="shared" si="7"/>
        <v>4594.07</v>
      </c>
      <c r="K340" s="7">
        <v>45198</v>
      </c>
    </row>
    <row r="341" spans="1:11" x14ac:dyDescent="0.3">
      <c r="A341" s="1" t="s">
        <v>29</v>
      </c>
      <c r="B341" s="11" t="s">
        <v>348</v>
      </c>
      <c r="C341" s="8" t="s">
        <v>10</v>
      </c>
      <c r="D341" s="12">
        <v>45113</v>
      </c>
      <c r="E341" s="8">
        <v>0</v>
      </c>
      <c r="F341" s="8">
        <v>2</v>
      </c>
      <c r="G341" s="8">
        <v>0</v>
      </c>
      <c r="H341" s="13">
        <f>SUM(Tabla13[[#This Row],[Balance corte Digecog]:[SALIDA]])</f>
        <v>2</v>
      </c>
      <c r="I341" s="14">
        <v>4781.76</v>
      </c>
      <c r="J341" s="15">
        <f t="shared" si="7"/>
        <v>9563.52</v>
      </c>
      <c r="K341" s="7">
        <v>45198</v>
      </c>
    </row>
    <row r="342" spans="1:11" x14ac:dyDescent="0.3">
      <c r="A342" s="1" t="s">
        <v>29</v>
      </c>
      <c r="B342" s="11" t="s">
        <v>349</v>
      </c>
      <c r="C342" s="8" t="s">
        <v>10</v>
      </c>
      <c r="D342" s="8"/>
      <c r="E342" s="8">
        <v>1</v>
      </c>
      <c r="F342" s="8">
        <v>0</v>
      </c>
      <c r="G342" s="8">
        <v>0</v>
      </c>
      <c r="H342" s="13">
        <f>SUM(Tabla13[[#This Row],[Balance corte Digecog]:[SALIDA]])</f>
        <v>1</v>
      </c>
      <c r="I342" s="14">
        <v>4594.07</v>
      </c>
      <c r="J342" s="15">
        <f t="shared" si="7"/>
        <v>4594.07</v>
      </c>
      <c r="K342" s="7">
        <v>45198</v>
      </c>
    </row>
    <row r="343" spans="1:11" ht="28.2" customHeight="1" x14ac:dyDescent="0.3">
      <c r="A343" s="1" t="s">
        <v>29</v>
      </c>
      <c r="B343" s="11" t="s">
        <v>350</v>
      </c>
      <c r="C343" s="8" t="s">
        <v>10</v>
      </c>
      <c r="D343" s="12">
        <v>45113</v>
      </c>
      <c r="E343" s="8">
        <v>0</v>
      </c>
      <c r="F343" s="8">
        <v>2</v>
      </c>
      <c r="G343" s="8">
        <v>0</v>
      </c>
      <c r="H343" s="13">
        <f>SUM(Tabla13[[#This Row],[Balance corte Digecog]:[SALIDA]])</f>
        <v>2</v>
      </c>
      <c r="I343" s="14">
        <v>4781.76</v>
      </c>
      <c r="J343" s="15">
        <f t="shared" si="7"/>
        <v>9563.52</v>
      </c>
      <c r="K343" s="7">
        <v>45198</v>
      </c>
    </row>
    <row r="344" spans="1:11" x14ac:dyDescent="0.3">
      <c r="A344" s="1" t="s">
        <v>29</v>
      </c>
      <c r="B344" s="11" t="s">
        <v>351</v>
      </c>
      <c r="C344" s="8" t="s">
        <v>10</v>
      </c>
      <c r="D344" s="8"/>
      <c r="E344" s="8">
        <v>9</v>
      </c>
      <c r="F344" s="8">
        <v>0</v>
      </c>
      <c r="G344" s="8">
        <v>0</v>
      </c>
      <c r="H344" s="13">
        <f>SUM(Tabla13[[#This Row],[Balance corte Digecog]:[SALIDA]])</f>
        <v>9</v>
      </c>
      <c r="I344" s="14">
        <v>4066.1</v>
      </c>
      <c r="J344" s="15">
        <f>9*4066.1</f>
        <v>36594.9</v>
      </c>
      <c r="K344" s="7">
        <v>45198</v>
      </c>
    </row>
    <row r="345" spans="1:11" x14ac:dyDescent="0.3">
      <c r="A345" s="1" t="s">
        <v>29</v>
      </c>
      <c r="B345" s="11" t="s">
        <v>352</v>
      </c>
      <c r="C345" s="8" t="s">
        <v>10</v>
      </c>
      <c r="D345" s="8"/>
      <c r="E345" s="8">
        <v>9</v>
      </c>
      <c r="F345" s="8">
        <v>1</v>
      </c>
      <c r="G345" s="8">
        <v>0</v>
      </c>
      <c r="H345" s="13">
        <f>SUM(Tabla13[[#This Row],[Balance corte Digecog]:[SALIDA]])</f>
        <v>10</v>
      </c>
      <c r="I345" s="14">
        <v>4066.1</v>
      </c>
      <c r="J345" s="15">
        <f>+H345*I345</f>
        <v>40661</v>
      </c>
      <c r="K345" s="7">
        <v>45198</v>
      </c>
    </row>
    <row r="346" spans="1:11" x14ac:dyDescent="0.3">
      <c r="A346" s="1" t="s">
        <v>29</v>
      </c>
      <c r="B346" s="11" t="s">
        <v>353</v>
      </c>
      <c r="C346" s="8" t="s">
        <v>10</v>
      </c>
      <c r="D346" s="8"/>
      <c r="E346" s="8">
        <v>7</v>
      </c>
      <c r="F346" s="8">
        <v>0</v>
      </c>
      <c r="G346" s="8">
        <v>-1</v>
      </c>
      <c r="H346" s="13">
        <f>SUM(Tabla13[[#This Row],[Balance corte Digecog]:[SALIDA]])</f>
        <v>6</v>
      </c>
      <c r="I346" s="14">
        <v>3448.31</v>
      </c>
      <c r="J346" s="15">
        <f>7*3448.31</f>
        <v>24138.17</v>
      </c>
      <c r="K346" s="7">
        <v>45198</v>
      </c>
    </row>
    <row r="347" spans="1:11" ht="30" customHeight="1" x14ac:dyDescent="0.3">
      <c r="A347" s="1" t="s">
        <v>29</v>
      </c>
      <c r="B347" s="11" t="s">
        <v>354</v>
      </c>
      <c r="C347" s="8" t="s">
        <v>10</v>
      </c>
      <c r="D347" s="12">
        <v>45113</v>
      </c>
      <c r="E347" s="8">
        <v>0</v>
      </c>
      <c r="F347" s="8">
        <v>4</v>
      </c>
      <c r="G347" s="8">
        <v>0</v>
      </c>
      <c r="H347" s="13">
        <f>SUM(Tabla13[[#This Row],[Balance corte Digecog]:[SALIDA]])</f>
        <v>4</v>
      </c>
      <c r="I347" s="14">
        <v>3589.79</v>
      </c>
      <c r="J347" s="15">
        <f>+H347*I347</f>
        <v>14359.16</v>
      </c>
      <c r="K347" s="7">
        <v>45198</v>
      </c>
    </row>
    <row r="348" spans="1:11" x14ac:dyDescent="0.3">
      <c r="A348" s="1" t="s">
        <v>29</v>
      </c>
      <c r="B348" s="11" t="s">
        <v>355</v>
      </c>
      <c r="C348" s="8" t="s">
        <v>10</v>
      </c>
      <c r="D348" s="8"/>
      <c r="E348" s="8">
        <v>9</v>
      </c>
      <c r="F348" s="8">
        <v>0</v>
      </c>
      <c r="G348" s="8">
        <v>0</v>
      </c>
      <c r="H348" s="13">
        <f>SUM(Tabla13[[#This Row],[Balance corte Digecog]:[SALIDA]])</f>
        <v>9</v>
      </c>
      <c r="I348" s="14">
        <v>4066.1</v>
      </c>
      <c r="J348" s="15">
        <f>9*4066.1</f>
        <v>36594.9</v>
      </c>
      <c r="K348" s="7">
        <v>45198</v>
      </c>
    </row>
    <row r="349" spans="1:11" ht="25.2" customHeight="1" x14ac:dyDescent="0.3">
      <c r="A349" s="1"/>
      <c r="B349" s="11" t="s">
        <v>356</v>
      </c>
      <c r="C349" s="8" t="s">
        <v>10</v>
      </c>
      <c r="D349" s="12">
        <v>45113</v>
      </c>
      <c r="E349" s="8">
        <v>0</v>
      </c>
      <c r="F349" s="8">
        <v>2</v>
      </c>
      <c r="G349" s="8">
        <v>-2</v>
      </c>
      <c r="H349" s="13">
        <f>SUM(Tabla13[[#This Row],[Balance corte Digecog]:[SALIDA]])</f>
        <v>0</v>
      </c>
      <c r="I349" s="14">
        <v>3725.82</v>
      </c>
      <c r="J349" s="15">
        <f>+H349*I349</f>
        <v>0</v>
      </c>
      <c r="K349" s="7">
        <v>45198</v>
      </c>
    </row>
    <row r="350" spans="1:11" x14ac:dyDescent="0.3">
      <c r="A350" s="1" t="s">
        <v>29</v>
      </c>
      <c r="B350" s="11" t="s">
        <v>357</v>
      </c>
      <c r="C350" s="8" t="s">
        <v>10</v>
      </c>
      <c r="D350" s="8"/>
      <c r="E350" s="8">
        <v>7</v>
      </c>
      <c r="F350" s="8">
        <v>3</v>
      </c>
      <c r="G350" s="8">
        <v>0</v>
      </c>
      <c r="H350" s="13">
        <f>SUM(Tabla13[[#This Row],[Balance corte Digecog]:[SALIDA]])</f>
        <v>10</v>
      </c>
      <c r="I350" s="14">
        <v>2300</v>
      </c>
      <c r="J350" s="15">
        <f>7*2300</f>
        <v>16100</v>
      </c>
      <c r="K350" s="7">
        <v>45198</v>
      </c>
    </row>
    <row r="351" spans="1:11" x14ac:dyDescent="0.3">
      <c r="A351" s="1" t="s">
        <v>29</v>
      </c>
      <c r="B351" s="11" t="s">
        <v>358</v>
      </c>
      <c r="C351" s="8" t="s">
        <v>10</v>
      </c>
      <c r="D351" s="8"/>
      <c r="E351" s="8">
        <v>9</v>
      </c>
      <c r="F351" s="8">
        <v>0</v>
      </c>
      <c r="G351" s="8">
        <v>0</v>
      </c>
      <c r="H351" s="13">
        <f>SUM(Tabla13[[#This Row],[Balance corte Digecog]:[SALIDA]])</f>
        <v>9</v>
      </c>
      <c r="I351" s="14">
        <v>2567.87</v>
      </c>
      <c r="J351" s="15">
        <f>9*2567.87</f>
        <v>23110.829999999998</v>
      </c>
      <c r="K351" s="7">
        <v>45198</v>
      </c>
    </row>
    <row r="352" spans="1:11" ht="27.6" customHeight="1" x14ac:dyDescent="0.3">
      <c r="A352" s="1" t="s">
        <v>29</v>
      </c>
      <c r="B352" s="11" t="s">
        <v>359</v>
      </c>
      <c r="C352" s="8" t="s">
        <v>10</v>
      </c>
      <c r="D352" s="8"/>
      <c r="E352" s="8">
        <v>3</v>
      </c>
      <c r="F352" s="8">
        <v>0</v>
      </c>
      <c r="G352" s="8">
        <v>-1</v>
      </c>
      <c r="H352" s="13">
        <f>SUM(Tabla13[[#This Row],[Balance corte Digecog]:[SALIDA]])</f>
        <v>2</v>
      </c>
      <c r="I352" s="14">
        <v>3700</v>
      </c>
      <c r="J352" s="15">
        <f>3*3700</f>
        <v>11100</v>
      </c>
      <c r="K352" s="7">
        <v>45198</v>
      </c>
    </row>
    <row r="353" spans="1:11" ht="41.4" customHeight="1" x14ac:dyDescent="0.3">
      <c r="A353" s="1" t="s">
        <v>29</v>
      </c>
      <c r="B353" s="11" t="s">
        <v>360</v>
      </c>
      <c r="C353" s="8" t="s">
        <v>10</v>
      </c>
      <c r="D353" s="8"/>
      <c r="E353" s="8">
        <v>3</v>
      </c>
      <c r="F353" s="8">
        <v>2</v>
      </c>
      <c r="G353" s="8">
        <v>0</v>
      </c>
      <c r="H353" s="13">
        <f>SUM(Tabla13[[#This Row],[Balance corte Digecog]:[SALIDA]])</f>
        <v>5</v>
      </c>
      <c r="I353" s="14">
        <v>4900</v>
      </c>
      <c r="J353" s="15">
        <f>3*4900</f>
        <v>14700</v>
      </c>
      <c r="K353" s="7">
        <v>45198</v>
      </c>
    </row>
    <row r="354" spans="1:11" ht="33" customHeight="1" x14ac:dyDescent="0.3">
      <c r="A354" s="1" t="s">
        <v>29</v>
      </c>
      <c r="B354" s="11" t="s">
        <v>361</v>
      </c>
      <c r="C354" s="8" t="s">
        <v>10</v>
      </c>
      <c r="D354" s="8"/>
      <c r="E354" s="8">
        <v>1</v>
      </c>
      <c r="F354" s="8">
        <v>0</v>
      </c>
      <c r="G354" s="8">
        <v>-1</v>
      </c>
      <c r="H354" s="13">
        <f>SUM(Tabla13[[#This Row],[Balance corte Digecog]:[SALIDA]])</f>
        <v>0</v>
      </c>
      <c r="I354" s="14">
        <v>4505.08</v>
      </c>
      <c r="J354" s="15">
        <f>1*4505.08</f>
        <v>4505.08</v>
      </c>
      <c r="K354" s="7">
        <v>45198</v>
      </c>
    </row>
    <row r="355" spans="1:11" x14ac:dyDescent="0.3">
      <c r="A355" s="1" t="s">
        <v>29</v>
      </c>
      <c r="B355" s="11" t="s">
        <v>362</v>
      </c>
      <c r="C355" s="8" t="s">
        <v>10</v>
      </c>
      <c r="D355" s="12">
        <v>45113</v>
      </c>
      <c r="E355" s="8">
        <v>0</v>
      </c>
      <c r="F355" s="8">
        <v>2</v>
      </c>
      <c r="G355" s="8">
        <v>-2</v>
      </c>
      <c r="H355" s="13">
        <f>SUM(Tabla13[[#This Row],[Balance corte Digecog]:[SALIDA]])</f>
        <v>0</v>
      </c>
      <c r="I355" s="14">
        <v>4689.97</v>
      </c>
      <c r="J355" s="15">
        <f>+H355*I355</f>
        <v>0</v>
      </c>
      <c r="K355" s="7">
        <v>45198</v>
      </c>
    </row>
    <row r="356" spans="1:11" x14ac:dyDescent="0.3">
      <c r="A356" s="1" t="s">
        <v>29</v>
      </c>
      <c r="B356" s="11" t="s">
        <v>363</v>
      </c>
      <c r="C356" s="8" t="s">
        <v>10</v>
      </c>
      <c r="D356" s="8"/>
      <c r="E356" s="8">
        <v>10</v>
      </c>
      <c r="F356" s="8">
        <v>0</v>
      </c>
      <c r="G356" s="8">
        <v>0</v>
      </c>
      <c r="H356" s="13">
        <f>SUM(Tabla13[[#This Row],[Balance corte Digecog]:[SALIDA]])</f>
        <v>10</v>
      </c>
      <c r="I356" s="14">
        <v>3800.21</v>
      </c>
      <c r="J356" s="15">
        <f>10*3800.21</f>
        <v>38002.1</v>
      </c>
      <c r="K356" s="7">
        <v>45198</v>
      </c>
    </row>
    <row r="357" spans="1:11" ht="27" customHeight="1" x14ac:dyDescent="0.3">
      <c r="A357" s="1" t="s">
        <v>29</v>
      </c>
      <c r="B357" s="11" t="s">
        <v>364</v>
      </c>
      <c r="C357" s="8" t="s">
        <v>10</v>
      </c>
      <c r="D357" s="8"/>
      <c r="E357" s="8">
        <v>9</v>
      </c>
      <c r="F357" s="8">
        <v>0</v>
      </c>
      <c r="G357" s="8">
        <v>-9</v>
      </c>
      <c r="H357" s="13">
        <f>SUM(Tabla13[[#This Row],[Balance corte Digecog]:[SALIDA]])</f>
        <v>0</v>
      </c>
      <c r="I357" s="14">
        <v>3674.58</v>
      </c>
      <c r="J357" s="15">
        <f>9*3674.58</f>
        <v>33071.22</v>
      </c>
      <c r="K357" s="7">
        <v>45198</v>
      </c>
    </row>
    <row r="358" spans="1:11" x14ac:dyDescent="0.3">
      <c r="A358" s="1" t="s">
        <v>29</v>
      </c>
      <c r="B358" s="11" t="s">
        <v>365</v>
      </c>
      <c r="C358" s="8" t="s">
        <v>10</v>
      </c>
      <c r="D358" s="8"/>
      <c r="E358" s="8">
        <v>14</v>
      </c>
      <c r="F358" s="8">
        <v>0</v>
      </c>
      <c r="G358" s="8">
        <v>-3</v>
      </c>
      <c r="H358" s="13">
        <f>SUM(Tabla13[[#This Row],[Balance corte Digecog]:[SALIDA]])</f>
        <v>11</v>
      </c>
      <c r="I358" s="14">
        <v>3933.9</v>
      </c>
      <c r="J358" s="15">
        <f>14*3933.9</f>
        <v>55074.6</v>
      </c>
      <c r="K358" s="7">
        <v>45198</v>
      </c>
    </row>
    <row r="359" spans="1:11" x14ac:dyDescent="0.3">
      <c r="A359" s="1" t="s">
        <v>29</v>
      </c>
      <c r="B359" s="11" t="s">
        <v>400</v>
      </c>
      <c r="C359" s="8" t="s">
        <v>10</v>
      </c>
      <c r="D359" s="12">
        <v>45113</v>
      </c>
      <c r="E359" s="8">
        <v>0</v>
      </c>
      <c r="F359" s="8">
        <v>6</v>
      </c>
      <c r="G359" s="8">
        <v>0</v>
      </c>
      <c r="H359" s="13">
        <f>SUM(Tabla13[[#This Row],[Balance corte Digecog]:[SALIDA]])</f>
        <v>6</v>
      </c>
      <c r="I359" s="14">
        <v>4094.97</v>
      </c>
      <c r="J359" s="15">
        <f>+H359*I359</f>
        <v>24569.82</v>
      </c>
      <c r="K359" s="7">
        <v>45198</v>
      </c>
    </row>
    <row r="360" spans="1:11" ht="23.4" customHeight="1" x14ac:dyDescent="0.3">
      <c r="A360" s="1" t="s">
        <v>29</v>
      </c>
      <c r="B360" s="11" t="s">
        <v>366</v>
      </c>
      <c r="C360" s="8" t="s">
        <v>10</v>
      </c>
      <c r="D360" s="12">
        <v>45113</v>
      </c>
      <c r="E360" s="8">
        <v>0</v>
      </c>
      <c r="F360" s="8">
        <v>4</v>
      </c>
      <c r="G360" s="8">
        <v>-1</v>
      </c>
      <c r="H360" s="13">
        <f>SUM(Tabla13[[#This Row],[Balance corte Digecog]:[SALIDA]])</f>
        <v>3</v>
      </c>
      <c r="I360" s="14">
        <v>4658.93</v>
      </c>
      <c r="J360" s="15">
        <f>+H360*I360</f>
        <v>13976.79</v>
      </c>
      <c r="K360" s="7">
        <v>45198</v>
      </c>
    </row>
    <row r="361" spans="1:11" x14ac:dyDescent="0.3">
      <c r="A361" s="1"/>
      <c r="B361" s="11" t="s">
        <v>367</v>
      </c>
      <c r="C361" s="8" t="s">
        <v>10</v>
      </c>
      <c r="D361" s="12">
        <v>45184</v>
      </c>
      <c r="E361" s="8">
        <v>0</v>
      </c>
      <c r="F361" s="8">
        <v>10</v>
      </c>
      <c r="G361" s="8">
        <v>-10</v>
      </c>
      <c r="H361" s="13">
        <f>SUM(Tabla13[[#This Row],[Balance corte Digecog]:[SALIDA]])</f>
        <v>0</v>
      </c>
      <c r="I361" s="14">
        <v>175</v>
      </c>
      <c r="J361" s="15">
        <f>+H361*I361</f>
        <v>0</v>
      </c>
      <c r="K361" s="7">
        <v>45198</v>
      </c>
    </row>
    <row r="362" spans="1:11" ht="27.6" customHeight="1" x14ac:dyDescent="0.3">
      <c r="A362" s="1" t="s">
        <v>29</v>
      </c>
      <c r="B362" s="11" t="s">
        <v>368</v>
      </c>
      <c r="C362" s="8" t="s">
        <v>10</v>
      </c>
      <c r="D362" s="8"/>
      <c r="E362" s="8">
        <v>3</v>
      </c>
      <c r="F362" s="8">
        <v>0</v>
      </c>
      <c r="G362" s="8">
        <v>0</v>
      </c>
      <c r="H362" s="13">
        <f>SUM(Tabla13[[#This Row],[Balance corte Digecog]:[SALIDA]])</f>
        <v>3</v>
      </c>
      <c r="I362" s="14">
        <v>6195</v>
      </c>
      <c r="J362" s="15">
        <f>3*6195</f>
        <v>18585</v>
      </c>
      <c r="K362" s="7">
        <v>45198</v>
      </c>
    </row>
    <row r="363" spans="1:11" x14ac:dyDescent="0.3">
      <c r="A363" s="1" t="s">
        <v>29</v>
      </c>
      <c r="B363" s="11" t="s">
        <v>369</v>
      </c>
      <c r="C363" s="8" t="s">
        <v>10</v>
      </c>
      <c r="D363" s="8"/>
      <c r="E363" s="8">
        <v>2</v>
      </c>
      <c r="F363" s="8">
        <v>0</v>
      </c>
      <c r="G363" s="8">
        <v>0</v>
      </c>
      <c r="H363" s="13">
        <f>SUM(Tabla13[[#This Row],[Balance corte Digecog]:[SALIDA]])</f>
        <v>2</v>
      </c>
      <c r="I363" s="14">
        <v>7890</v>
      </c>
      <c r="J363" s="15">
        <f>2*7890</f>
        <v>15780</v>
      </c>
      <c r="K363" s="7">
        <v>45198</v>
      </c>
    </row>
    <row r="364" spans="1:11" ht="33" customHeight="1" x14ac:dyDescent="0.3">
      <c r="A364" s="1" t="s">
        <v>29</v>
      </c>
      <c r="B364" s="11" t="s">
        <v>370</v>
      </c>
      <c r="C364" s="8" t="s">
        <v>10</v>
      </c>
      <c r="D364" s="8"/>
      <c r="E364" s="8">
        <v>3</v>
      </c>
      <c r="F364" s="8">
        <v>0</v>
      </c>
      <c r="G364" s="8">
        <v>0</v>
      </c>
      <c r="H364" s="13">
        <f>SUM(Tabla13[[#This Row],[Balance corte Digecog]:[SALIDA]])</f>
        <v>3</v>
      </c>
      <c r="I364" s="14">
        <v>2367.5</v>
      </c>
      <c r="J364" s="15">
        <f>3*2367.5</f>
        <v>7102.5</v>
      </c>
      <c r="K364" s="7">
        <v>45198</v>
      </c>
    </row>
    <row r="365" spans="1:11" ht="31.2" customHeight="1" x14ac:dyDescent="0.3">
      <c r="A365" s="1" t="s">
        <v>13</v>
      </c>
      <c r="B365" s="11" t="s">
        <v>371</v>
      </c>
      <c r="C365" s="8" t="s">
        <v>10</v>
      </c>
      <c r="D365" s="8"/>
      <c r="E365" s="8">
        <v>9</v>
      </c>
      <c r="F365" s="8">
        <v>0</v>
      </c>
      <c r="G365" s="8">
        <v>-2</v>
      </c>
      <c r="H365" s="13">
        <f>SUM(Tabla13[[#This Row],[Balance corte Digecog]:[SALIDA]])</f>
        <v>7</v>
      </c>
      <c r="I365" s="14">
        <v>850</v>
      </c>
      <c r="J365" s="15">
        <f>9*850</f>
        <v>7650</v>
      </c>
      <c r="K365" s="7">
        <v>45198</v>
      </c>
    </row>
    <row r="366" spans="1:11" x14ac:dyDescent="0.3">
      <c r="A366" s="1" t="s">
        <v>13</v>
      </c>
      <c r="B366" s="11" t="s">
        <v>372</v>
      </c>
      <c r="C366" s="8" t="s">
        <v>12</v>
      </c>
      <c r="D366" s="8"/>
      <c r="E366" s="8">
        <v>4</v>
      </c>
      <c r="F366" s="8">
        <v>0</v>
      </c>
      <c r="G366" s="8">
        <v>0</v>
      </c>
      <c r="H366" s="13">
        <f>SUM(Tabla13[[#This Row],[Balance corte Digecog]:[SALIDA]])</f>
        <v>4</v>
      </c>
      <c r="I366" s="14">
        <v>6829.52</v>
      </c>
      <c r="J366" s="15">
        <f>6829.52*4</f>
        <v>27318.080000000002</v>
      </c>
      <c r="K366" s="7">
        <v>45198</v>
      </c>
    </row>
    <row r="367" spans="1:11" ht="27.6" customHeight="1" x14ac:dyDescent="0.3">
      <c r="A367" s="1" t="s">
        <v>13</v>
      </c>
      <c r="B367" s="11" t="s">
        <v>373</v>
      </c>
      <c r="C367" s="8" t="s">
        <v>10</v>
      </c>
      <c r="D367" s="8"/>
      <c r="E367" s="8">
        <v>0</v>
      </c>
      <c r="F367" s="8">
        <v>50</v>
      </c>
      <c r="G367" s="8">
        <v>0</v>
      </c>
      <c r="H367" s="13">
        <f>SUM(Tabla13[[#This Row],[Balance corte Digecog]:[SALIDA]])</f>
        <v>50</v>
      </c>
      <c r="I367" s="14">
        <v>169.5</v>
      </c>
      <c r="J367" s="15">
        <f>50*169.5</f>
        <v>8475</v>
      </c>
      <c r="K367" s="7">
        <v>45198</v>
      </c>
    </row>
    <row r="368" spans="1:11" x14ac:dyDescent="0.3">
      <c r="A368" s="1"/>
      <c r="B368" s="11" t="s">
        <v>374</v>
      </c>
      <c r="C368" s="8" t="s">
        <v>10</v>
      </c>
      <c r="D368" s="12">
        <v>45181</v>
      </c>
      <c r="E368" s="8">
        <v>0</v>
      </c>
      <c r="F368" s="8">
        <v>1</v>
      </c>
      <c r="G368" s="8">
        <v>-1</v>
      </c>
      <c r="H368" s="13">
        <f>SUM(Tabla13[[#This Row],[Balance corte Digecog]:[SALIDA]])</f>
        <v>0</v>
      </c>
      <c r="I368" s="14">
        <v>122033.89</v>
      </c>
      <c r="J368" s="15">
        <f>+H368*I368</f>
        <v>0</v>
      </c>
      <c r="K368" s="7">
        <v>45198</v>
      </c>
    </row>
    <row r="369" spans="1:11" x14ac:dyDescent="0.3">
      <c r="A369" s="10" t="s">
        <v>13</v>
      </c>
      <c r="B369" s="11" t="s">
        <v>375</v>
      </c>
      <c r="C369" s="8" t="s">
        <v>10</v>
      </c>
      <c r="D369" s="8"/>
      <c r="E369" s="8">
        <v>2</v>
      </c>
      <c r="F369" s="8">
        <v>0</v>
      </c>
      <c r="G369" s="8">
        <v>-2</v>
      </c>
      <c r="H369" s="13">
        <f>SUM(Tabla13[[#This Row],[Balance corte Digecog]:[SALIDA]])</f>
        <v>0</v>
      </c>
      <c r="I369" s="14">
        <v>3260.34</v>
      </c>
      <c r="J369" s="15">
        <f>+H369*I369</f>
        <v>0</v>
      </c>
      <c r="K369" s="7">
        <v>45198</v>
      </c>
    </row>
    <row r="370" spans="1:11" x14ac:dyDescent="0.3">
      <c r="A370" s="1" t="s">
        <v>64</v>
      </c>
      <c r="B370" s="11" t="s">
        <v>376</v>
      </c>
      <c r="C370" s="8" t="s">
        <v>10</v>
      </c>
      <c r="D370" s="8"/>
      <c r="E370" s="8">
        <v>2</v>
      </c>
      <c r="F370" s="8">
        <v>0</v>
      </c>
      <c r="G370" s="8">
        <v>0</v>
      </c>
      <c r="H370" s="13">
        <f>SUM(Tabla13[[#This Row],[Balance corte Digecog]:[SALIDA]])</f>
        <v>2</v>
      </c>
      <c r="I370" s="14">
        <v>75</v>
      </c>
      <c r="J370" s="15">
        <f>+H370*I370</f>
        <v>150</v>
      </c>
      <c r="K370" s="7">
        <v>45198</v>
      </c>
    </row>
    <row r="371" spans="1:11" x14ac:dyDescent="0.3">
      <c r="A371" s="8" t="s">
        <v>64</v>
      </c>
      <c r="B371" s="11" t="s">
        <v>377</v>
      </c>
      <c r="C371" s="8" t="s">
        <v>300</v>
      </c>
      <c r="D371" s="8"/>
      <c r="E371" s="8">
        <v>59</v>
      </c>
      <c r="F371" s="8">
        <v>0</v>
      </c>
      <c r="G371" s="8">
        <v>-59</v>
      </c>
      <c r="H371" s="13">
        <f>SUM(Tabla13[[#This Row],[Balance corte Digecog]:[SALIDA]])</f>
        <v>0</v>
      </c>
      <c r="I371" s="14">
        <v>118</v>
      </c>
      <c r="J371" s="15">
        <f>59*118</f>
        <v>6962</v>
      </c>
      <c r="K371" s="7">
        <v>45198</v>
      </c>
    </row>
    <row r="372" spans="1:11" x14ac:dyDescent="0.3">
      <c r="A372" s="8" t="s">
        <v>64</v>
      </c>
      <c r="B372" s="11" t="s">
        <v>378</v>
      </c>
      <c r="C372" s="8" t="s">
        <v>300</v>
      </c>
      <c r="D372" s="12">
        <v>45163</v>
      </c>
      <c r="E372" s="8">
        <v>0</v>
      </c>
      <c r="F372" s="8">
        <v>200</v>
      </c>
      <c r="G372" s="8">
        <v>-52</v>
      </c>
      <c r="H372" s="13">
        <f>SUM(Tabla13[[#This Row],[Balance corte Digecog]:[SALIDA]])</f>
        <v>148</v>
      </c>
      <c r="I372" s="14">
        <v>41.8</v>
      </c>
      <c r="J372" s="15">
        <f>+H372*I372</f>
        <v>6186.4</v>
      </c>
      <c r="K372" s="7">
        <v>45198</v>
      </c>
    </row>
    <row r="373" spans="1:11" x14ac:dyDescent="0.3">
      <c r="A373" s="8" t="s">
        <v>64</v>
      </c>
      <c r="B373" s="11" t="s">
        <v>379</v>
      </c>
      <c r="C373" s="8" t="s">
        <v>380</v>
      </c>
      <c r="D373" s="8"/>
      <c r="E373" s="8">
        <v>100</v>
      </c>
      <c r="F373" s="8">
        <v>0</v>
      </c>
      <c r="G373" s="8">
        <v>-100</v>
      </c>
      <c r="H373" s="13">
        <f>SUM(Tabla13[[#This Row],[Balance corte Digecog]:[SALIDA]])</f>
        <v>0</v>
      </c>
      <c r="I373" s="14">
        <v>60.59</v>
      </c>
      <c r="J373" s="15">
        <f>100*60.59</f>
        <v>6059</v>
      </c>
      <c r="K373" s="7">
        <v>45198</v>
      </c>
    </row>
    <row r="374" spans="1:11" x14ac:dyDescent="0.3">
      <c r="A374" s="8" t="s">
        <v>64</v>
      </c>
      <c r="B374" s="11" t="s">
        <v>381</v>
      </c>
      <c r="C374" s="8" t="s">
        <v>382</v>
      </c>
      <c r="D374" s="12">
        <v>45170</v>
      </c>
      <c r="E374" s="8">
        <v>0</v>
      </c>
      <c r="F374" s="8">
        <v>200</v>
      </c>
      <c r="G374" s="8">
        <v>-6</v>
      </c>
      <c r="H374" s="13">
        <f>SUM(Tabla13[[#This Row],[Balance corte Digecog]:[SALIDA]])</f>
        <v>194</v>
      </c>
      <c r="I374" s="14">
        <v>76.78</v>
      </c>
      <c r="J374" s="15">
        <f>+H374*I374</f>
        <v>14895.32</v>
      </c>
      <c r="K374" s="7">
        <v>45198</v>
      </c>
    </row>
    <row r="375" spans="1:11" x14ac:dyDescent="0.3">
      <c r="A375" s="8" t="s">
        <v>64</v>
      </c>
      <c r="B375" s="11" t="s">
        <v>383</v>
      </c>
      <c r="C375" s="8" t="s">
        <v>382</v>
      </c>
      <c r="D375" s="12">
        <v>45170</v>
      </c>
      <c r="E375" s="8">
        <v>0</v>
      </c>
      <c r="F375" s="8">
        <v>100</v>
      </c>
      <c r="G375" s="8">
        <v>-11</v>
      </c>
      <c r="H375" s="13">
        <f>SUM(Tabla13[[#This Row],[Balance corte Digecog]:[SALIDA]])</f>
        <v>89</v>
      </c>
      <c r="I375" s="14">
        <v>44.85</v>
      </c>
      <c r="J375" s="15">
        <f>+H375*I375</f>
        <v>3991.65</v>
      </c>
      <c r="K375" s="7">
        <v>45198</v>
      </c>
    </row>
    <row r="376" spans="1:11" x14ac:dyDescent="0.3">
      <c r="A376" s="1" t="s">
        <v>64</v>
      </c>
      <c r="B376" s="11" t="s">
        <v>384</v>
      </c>
      <c r="C376" s="8" t="s">
        <v>10</v>
      </c>
      <c r="D376" s="8"/>
      <c r="E376" s="8">
        <v>1</v>
      </c>
      <c r="F376" s="8">
        <v>0</v>
      </c>
      <c r="G376" s="8">
        <v>0</v>
      </c>
      <c r="H376" s="13">
        <f>SUM(Tabla13[[#This Row],[Balance corte Digecog]:[SALIDA]])</f>
        <v>1</v>
      </c>
      <c r="I376" s="14">
        <v>290</v>
      </c>
      <c r="J376" s="15">
        <f>+H376*I376</f>
        <v>290</v>
      </c>
      <c r="K376" s="7">
        <v>45198</v>
      </c>
    </row>
    <row r="377" spans="1:11" x14ac:dyDescent="0.3">
      <c r="A377" s="16" t="s">
        <v>64</v>
      </c>
      <c r="B377" s="22" t="s">
        <v>385</v>
      </c>
      <c r="C377" s="23" t="s">
        <v>10</v>
      </c>
      <c r="D377" s="23"/>
      <c r="E377" s="23">
        <v>1</v>
      </c>
      <c r="F377" s="23">
        <v>0</v>
      </c>
      <c r="G377" s="23">
        <v>0</v>
      </c>
      <c r="H377" s="24">
        <f>SUM(Tabla13[[#This Row],[Balance corte Digecog]:[SALIDA]])</f>
        <v>1</v>
      </c>
      <c r="I377" s="25">
        <v>215</v>
      </c>
      <c r="J377" s="26">
        <f>+H377*I377</f>
        <v>215</v>
      </c>
      <c r="K377" s="7">
        <v>45198</v>
      </c>
    </row>
    <row r="378" spans="1:11" x14ac:dyDescent="0.3">
      <c r="A378" s="16" t="s">
        <v>29</v>
      </c>
      <c r="B378" s="22" t="s">
        <v>386</v>
      </c>
      <c r="C378" s="23" t="s">
        <v>10</v>
      </c>
      <c r="D378" s="23"/>
      <c r="E378" s="23">
        <v>35</v>
      </c>
      <c r="F378" s="23">
        <v>0</v>
      </c>
      <c r="G378" s="23">
        <v>-13</v>
      </c>
      <c r="H378" s="24">
        <f>SUM(Tabla13[[#This Row],[Balance corte Digecog]:[SALIDA]])</f>
        <v>22</v>
      </c>
      <c r="I378" s="25">
        <v>306.77999999999997</v>
      </c>
      <c r="J378" s="26">
        <f>35*306.78</f>
        <v>10737.3</v>
      </c>
      <c r="K378" s="7">
        <v>45198</v>
      </c>
    </row>
    <row r="379" spans="1:11" x14ac:dyDescent="0.3">
      <c r="A379" s="27" t="s">
        <v>64</v>
      </c>
      <c r="B379" s="28" t="s">
        <v>387</v>
      </c>
      <c r="C379" s="29" t="s">
        <v>10</v>
      </c>
      <c r="D379" s="29"/>
      <c r="E379" s="29">
        <v>43</v>
      </c>
      <c r="F379" s="29">
        <v>0</v>
      </c>
      <c r="G379" s="29">
        <v>-18</v>
      </c>
      <c r="H379" s="30">
        <f>SUM(Tabla13[[#This Row],[Balance corte Digecog]:[SALIDA]])</f>
        <v>25</v>
      </c>
      <c r="I379" s="31">
        <v>306.77999999999997</v>
      </c>
      <c r="J379" s="32">
        <f>43*306.78</f>
        <v>13191.539999999999</v>
      </c>
      <c r="K379" s="7">
        <v>45198</v>
      </c>
    </row>
    <row r="380" spans="1:11" x14ac:dyDescent="0.3">
      <c r="A380" s="53"/>
      <c r="B380" s="54"/>
      <c r="C380" s="55"/>
      <c r="D380" s="55"/>
      <c r="E380" s="56"/>
      <c r="F380" s="56"/>
      <c r="G380" s="56"/>
      <c r="H380" s="57"/>
      <c r="I380" s="58"/>
      <c r="J380" s="59">
        <f>SUM(J7:J379)</f>
        <v>2984482.7399999984</v>
      </c>
      <c r="K380" s="60"/>
    </row>
    <row r="381" spans="1:11" x14ac:dyDescent="0.3">
      <c r="A381" s="34"/>
      <c r="B381" s="35"/>
      <c r="C381" s="34"/>
      <c r="D381" s="34"/>
      <c r="E381" s="36"/>
      <c r="F381" s="36"/>
      <c r="G381" s="36"/>
      <c r="H381" s="37"/>
      <c r="I381" s="38"/>
      <c r="J381" s="33"/>
      <c r="K381" s="39"/>
    </row>
    <row r="382" spans="1:11" x14ac:dyDescent="0.3">
      <c r="A382" s="40" t="s">
        <v>388</v>
      </c>
      <c r="B382" s="41"/>
      <c r="C382" s="42"/>
      <c r="D382" s="67"/>
      <c r="E382" s="67"/>
      <c r="F382" s="67"/>
      <c r="G382" s="42"/>
      <c r="H382" s="42"/>
      <c r="I382" s="42"/>
      <c r="J382" s="42"/>
      <c r="K382" s="42"/>
    </row>
    <row r="383" spans="1:11" x14ac:dyDescent="0.3">
      <c r="A383" s="40" t="s">
        <v>389</v>
      </c>
      <c r="B383" s="41"/>
      <c r="C383" s="42"/>
      <c r="D383" s="68"/>
      <c r="E383" s="68"/>
      <c r="F383" s="68"/>
      <c r="G383" s="42"/>
      <c r="H383" s="43"/>
      <c r="I383" s="42"/>
      <c r="J383" s="42"/>
      <c r="K383" s="42"/>
    </row>
  </sheetData>
  <mergeCells count="2">
    <mergeCell ref="D382:F382"/>
    <mergeCell ref="D383:F383"/>
  </mergeCells>
  <conditionalFormatting sqref="A300:B300 A286:B286 A48 A365 A21:B21 A56:B66 B200:B204 B283:B284 A292:B292 A311:B313 A238 A230:B230 A70:A77 B67:B77 B287:B291 B185:B186 B240 I342 I344:I362 B266:B270 B293:B299 B44:B48 B137:B165 A138:A158 A216:B218 B215 A49:B54 A166:B170 B314:B365 B171 A40:B43 A261:B265 B260 B231:B238 A205:B211 A187:B199 B301:B310 A213:B214 B212 A78:B101 A117:B136 A172:B184 B22:B39 I17:I101 B18:B20 A241:B259 B102:B116 I103:I218 I230:I340 A271:B282">
    <cfRule type="expression" dxfId="103" priority="85">
      <formula>$B17=1</formula>
    </cfRule>
    <cfRule type="expression" dxfId="102" priority="86">
      <formula>#REF!="Sí"</formula>
    </cfRule>
  </conditionalFormatting>
  <conditionalFormatting sqref="B55">
    <cfRule type="expression" dxfId="101" priority="81">
      <formula>$B55=1</formula>
    </cfRule>
    <cfRule type="expression" dxfId="100" priority="82">
      <formula>#REF!="Sí"</formula>
    </cfRule>
  </conditionalFormatting>
  <conditionalFormatting sqref="A284">
    <cfRule type="expression" dxfId="99" priority="79">
      <formula>$B284=1</formula>
    </cfRule>
    <cfRule type="expression" dxfId="98" priority="80">
      <formula>#REF!="Sí"</formula>
    </cfRule>
  </conditionalFormatting>
  <conditionalFormatting sqref="A310">
    <cfRule type="expression" dxfId="97" priority="78">
      <formula>"If(blnBinNo=""True"")"</formula>
    </cfRule>
  </conditionalFormatting>
  <conditionalFormatting sqref="A297:A299">
    <cfRule type="expression" dxfId="96" priority="77">
      <formula>"If(blnBinNo=""True"")"</formula>
    </cfRule>
  </conditionalFormatting>
  <conditionalFormatting sqref="B219 I219:I229 A220:B229">
    <cfRule type="expression" dxfId="95" priority="83">
      <formula>$C219=1</formula>
    </cfRule>
    <cfRule type="expression" dxfId="94" priority="84">
      <formula>#REF!="Sí"</formula>
    </cfRule>
  </conditionalFormatting>
  <conditionalFormatting sqref="A200">
    <cfRule type="expression" dxfId="93" priority="71">
      <formula>$B200=1</formula>
    </cfRule>
    <cfRule type="expression" dxfId="92" priority="72">
      <formula>#REF!="Sí"</formula>
    </cfRule>
  </conditionalFormatting>
  <conditionalFormatting sqref="A289:A290">
    <cfRule type="expression" dxfId="91" priority="69">
      <formula>$B289=1</formula>
    </cfRule>
    <cfRule type="expression" dxfId="90" priority="70">
      <formula>#REF!="Sí"</formula>
    </cfRule>
  </conditionalFormatting>
  <conditionalFormatting sqref="A288">
    <cfRule type="expression" dxfId="89" priority="67">
      <formula>$B288=1</formula>
    </cfRule>
    <cfRule type="expression" dxfId="88" priority="68">
      <formula>#REF!="Sí"</formula>
    </cfRule>
  </conditionalFormatting>
  <conditionalFormatting sqref="A267">
    <cfRule type="expression" dxfId="87" priority="63">
      <formula>$B267=1</formula>
    </cfRule>
    <cfRule type="expression" dxfId="86" priority="64">
      <formula>#REF!="Sí"</formula>
    </cfRule>
  </conditionalFormatting>
  <conditionalFormatting sqref="B285">
    <cfRule type="expression" dxfId="85" priority="61">
      <formula>$B285=1</formula>
    </cfRule>
    <cfRule type="expression" dxfId="84" priority="62">
      <formula>#REF!="Sí"</formula>
    </cfRule>
  </conditionalFormatting>
  <conditionalFormatting sqref="B17">
    <cfRule type="expression" dxfId="83" priority="59">
      <formula>$B17=1</formula>
    </cfRule>
    <cfRule type="expression" dxfId="82" priority="60">
      <formula>#REF!="Sí"</formula>
    </cfRule>
  </conditionalFormatting>
  <conditionalFormatting sqref="E73">
    <cfRule type="expression" dxfId="81" priority="57">
      <formula>$B73=1</formula>
    </cfRule>
    <cfRule type="expression" dxfId="80" priority="58">
      <formula>#REF!="Sí"</formula>
    </cfRule>
  </conditionalFormatting>
  <conditionalFormatting sqref="A67:A69">
    <cfRule type="expression" dxfId="79" priority="53">
      <formula>$B67=1</formula>
    </cfRule>
    <cfRule type="expression" dxfId="78" priority="54">
      <formula>#REF!="Sí"</formula>
    </cfRule>
  </conditionalFormatting>
  <conditionalFormatting sqref="A287">
    <cfRule type="expression" dxfId="77" priority="51">
      <formula>$B287=1</formula>
    </cfRule>
    <cfRule type="expression" dxfId="76" priority="52">
      <formula>#REF!="Sí"</formula>
    </cfRule>
  </conditionalFormatting>
  <conditionalFormatting sqref="A285">
    <cfRule type="expression" dxfId="75" priority="49">
      <formula>$B285=1</formula>
    </cfRule>
    <cfRule type="expression" dxfId="74" priority="50">
      <formula>#REF!="Sí"</formula>
    </cfRule>
  </conditionalFormatting>
  <conditionalFormatting sqref="A283">
    <cfRule type="expression" dxfId="73" priority="47">
      <formula>$B283=1</formula>
    </cfRule>
    <cfRule type="expression" dxfId="72" priority="48">
      <formula>#REF!="Sí"</formula>
    </cfRule>
  </conditionalFormatting>
  <conditionalFormatting sqref="A240">
    <cfRule type="expression" dxfId="71" priority="45">
      <formula>$B240=1</formula>
    </cfRule>
    <cfRule type="expression" dxfId="70" priority="46">
      <formula>#REF!="Sí"</formula>
    </cfRule>
  </conditionalFormatting>
  <conditionalFormatting sqref="A266">
    <cfRule type="expression" dxfId="69" priority="43">
      <formula>$B266=1</formula>
    </cfRule>
    <cfRule type="expression" dxfId="68" priority="44">
      <formula>#REF!="Sí"</formula>
    </cfRule>
  </conditionalFormatting>
  <conditionalFormatting sqref="I102">
    <cfRule type="expression" dxfId="67" priority="41">
      <formula>$B102=1</formula>
    </cfRule>
    <cfRule type="expression" dxfId="66" priority="42">
      <formula>#REF!="Sí"</formula>
    </cfRule>
  </conditionalFormatting>
  <conditionalFormatting sqref="A113:A114">
    <cfRule type="expression" dxfId="65" priority="39">
      <formula>$B113=1</formula>
    </cfRule>
    <cfRule type="expression" dxfId="64" priority="40">
      <formula>#REF!="Sí"</formula>
    </cfRule>
  </conditionalFormatting>
  <conditionalFormatting sqref="A161:A165">
    <cfRule type="expression" dxfId="63" priority="37">
      <formula>$B161=1</formula>
    </cfRule>
    <cfRule type="expression" dxfId="62" priority="38">
      <formula>#REF!="Sí"</formula>
    </cfRule>
  </conditionalFormatting>
  <conditionalFormatting sqref="A185">
    <cfRule type="expression" dxfId="61" priority="35">
      <formula>$B185=1</formula>
    </cfRule>
    <cfRule type="expression" dxfId="60" priority="36">
      <formula>#REF!="Sí"</formula>
    </cfRule>
  </conditionalFormatting>
  <conditionalFormatting sqref="A186">
    <cfRule type="expression" dxfId="59" priority="33">
      <formula>$B186=1</formula>
    </cfRule>
    <cfRule type="expression" dxfId="58" priority="34">
      <formula>#REF!="Sí"</formula>
    </cfRule>
  </conditionalFormatting>
  <conditionalFormatting sqref="A301:A303">
    <cfRule type="expression" dxfId="57" priority="31">
      <formula>$B301=1</formula>
    </cfRule>
    <cfRule type="expression" dxfId="56" priority="32">
      <formula>#REF!="Sí"</formula>
    </cfRule>
  </conditionalFormatting>
  <conditionalFormatting sqref="A239:B239">
    <cfRule type="expression" dxfId="55" priority="29">
      <formula>$B239=1</formula>
    </cfRule>
    <cfRule type="expression" dxfId="54" priority="30">
      <formula>#REF!="Sí"</formula>
    </cfRule>
  </conditionalFormatting>
  <conditionalFormatting sqref="I341">
    <cfRule type="expression" dxfId="53" priority="27">
      <formula>$B341=1</formula>
    </cfRule>
    <cfRule type="expression" dxfId="52" priority="28">
      <formula>#REF!="Sí"</formula>
    </cfRule>
  </conditionalFormatting>
  <conditionalFormatting sqref="I343">
    <cfRule type="expression" dxfId="51" priority="25">
      <formula>$B343=1</formula>
    </cfRule>
    <cfRule type="expression" dxfId="50" priority="26">
      <formula>#REF!="Sí"</formula>
    </cfRule>
  </conditionalFormatting>
  <conditionalFormatting sqref="A47">
    <cfRule type="expression" dxfId="49" priority="23">
      <formula>$B47=1</formula>
    </cfRule>
    <cfRule type="expression" dxfId="48" priority="24">
      <formula>#REF!="Sí"</formula>
    </cfRule>
  </conditionalFormatting>
  <conditionalFormatting sqref="A308">
    <cfRule type="expression" dxfId="47" priority="21">
      <formula>$B308=1</formula>
    </cfRule>
    <cfRule type="expression" dxfId="46" priority="22">
      <formula>#REF!="Sí"</formula>
    </cfRule>
  </conditionalFormatting>
  <conditionalFormatting sqref="A270">
    <cfRule type="expression" dxfId="45" priority="19">
      <formula>$B270=1</formula>
    </cfRule>
    <cfRule type="expression" dxfId="44" priority="20">
      <formula>#REF!="Sí"</formula>
    </cfRule>
  </conditionalFormatting>
  <conditionalFormatting sqref="A269">
    <cfRule type="expression" dxfId="43" priority="17">
      <formula>$B269=1</formula>
    </cfRule>
    <cfRule type="expression" dxfId="42" priority="18">
      <formula>#REF!="Sí"</formula>
    </cfRule>
  </conditionalFormatting>
  <conditionalFormatting sqref="A235:A236">
    <cfRule type="expression" dxfId="41" priority="15">
      <formula>$B235=1</formula>
    </cfRule>
    <cfRule type="expression" dxfId="40" priority="16">
      <formula>#REF!="Sí"</formula>
    </cfRule>
  </conditionalFormatting>
  <conditionalFormatting sqref="A12:A15">
    <cfRule type="expression" dxfId="39" priority="13">
      <formula>$B12=1</formula>
    </cfRule>
    <cfRule type="expression" dxfId="38" priority="14">
      <formula>#REF!="Sí"</formula>
    </cfRule>
  </conditionalFormatting>
  <conditionalFormatting sqref="A7">
    <cfRule type="expression" dxfId="37" priority="11">
      <formula>$B7=1</formula>
    </cfRule>
    <cfRule type="expression" dxfId="36" priority="12">
      <formula>#REF!="Sí"</formula>
    </cfRule>
  </conditionalFormatting>
  <conditionalFormatting sqref="A291">
    <cfRule type="expression" dxfId="35" priority="9">
      <formula>$B291=1</formula>
    </cfRule>
    <cfRule type="expression" dxfId="34" priority="10">
      <formula>#REF!="Sí"</formula>
    </cfRule>
  </conditionalFormatting>
  <conditionalFormatting sqref="A268">
    <cfRule type="expression" dxfId="33" priority="7">
      <formula>$B268=1</formula>
    </cfRule>
    <cfRule type="expression" dxfId="32" priority="8">
      <formula>#REF!="Sí"</formula>
    </cfRule>
  </conditionalFormatting>
  <conditionalFormatting sqref="A116">
    <cfRule type="expression" dxfId="31" priority="5">
      <formula>$B116=1</formula>
    </cfRule>
    <cfRule type="expression" dxfId="30" priority="6">
      <formula>#REF!="Sí"</formula>
    </cfRule>
  </conditionalFormatting>
  <conditionalFormatting sqref="A296">
    <cfRule type="expression" dxfId="29" priority="3">
      <formula>$B296=1</formula>
    </cfRule>
    <cfRule type="expression" dxfId="28" priority="4">
      <formula>#REF!="Sí"</formula>
    </cfRule>
  </conditionalFormatting>
  <conditionalFormatting sqref="A19:A20">
    <cfRule type="expression" dxfId="27" priority="1">
      <formula>$B19=1</formula>
    </cfRule>
    <cfRule type="expression" dxfId="26" priority="2">
      <formula>#REF!="Sí"</formula>
    </cfRule>
  </conditionalFormatting>
  <dataValidations count="6">
    <dataValidation allowBlank="1" showInputMessage="1" showErrorMessage="1" promptTitle="PACC" prompt="Digite la cantidad requerida en este período._x000a_" sqref="F103:F142 E74:E142 G103:G376 E143:F365 E7:E72 F7:G102"/>
    <dataValidation allowBlank="1" showInputMessage="1" showErrorMessage="1" prompt="Escribe la descripción del elemento en esta columna" sqref="B7:B16"/>
    <dataValidation allowBlank="1" showInputMessage="1" showErrorMessage="1" prompt="Escribe el precio unitario de cada elemento en esta columna" sqref="I7:I16"/>
    <dataValidation allowBlank="1" showInputMessage="1" showErrorMessage="1" promptTitle="PACC" prompt="La cantidad total resultará de la suma de las cantidades requeridas en cada trimestre. " sqref="H7:H379"/>
    <dataValidation allowBlank="1" showInputMessage="1" showErrorMessage="1" promptTitle="PACC" prompt="Este valor se calculará automáticamente, resultado de la multiplicación de la cantidad total por el precio unitario estimado." sqref="J7:K379"/>
    <dataValidation allowBlank="1" showInputMessage="1" showErrorMessage="1" promptTitle="PACC" prompt="Digite la unidad de medida._x000a__x000a_" sqref="C7:D365"/>
  </dataValidations>
  <pageMargins left="0.7" right="0.7" top="0.75" bottom="0.75" header="0.3" footer="0.3"/>
  <pageSetup paperSize="5" scale="87" orientation="landscape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2023-10-04T13:35:36Z</dcterms:modified>
</cp:coreProperties>
</file>